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2 DICIEMBRE\Numeral 8\"/>
    </mc:Choice>
  </mc:AlternateContent>
  <bookViews>
    <workbookView xWindow="0" yWindow="0" windowWidth="20490" windowHeight="7305" tabRatio="810" firstSheet="4" activeTab="11"/>
  </bookViews>
  <sheets>
    <sheet name="ENERO 2021" sheetId="37" r:id="rId1"/>
    <sheet name="FEBRERO 2021" sheetId="38" r:id="rId2"/>
    <sheet name="MARZO 2021" sheetId="39" r:id="rId3"/>
    <sheet name="ABRIL 2021 " sheetId="40" r:id="rId4"/>
    <sheet name="MAYO 2021" sheetId="41" r:id="rId5"/>
    <sheet name="JUNIO 2021" sheetId="42" r:id="rId6"/>
    <sheet name="JULIO 2021" sheetId="43" r:id="rId7"/>
    <sheet name="AGOSTO 2021" sheetId="44" r:id="rId8"/>
    <sheet name="SEPTIEMBRE 2021" sheetId="45" r:id="rId9"/>
    <sheet name="OCTUBRE 2021" sheetId="46" r:id="rId10"/>
    <sheet name="NOVIEMBRE" sheetId="47" r:id="rId11"/>
    <sheet name="DICIEMBRE" sheetId="48" r:id="rId12"/>
  </sheets>
  <definedNames>
    <definedName name="_xlnm.Print_Area" localSheetId="3">'ABRIL 2021 '!$A$1:$O$182</definedName>
    <definedName name="_xlnm.Print_Area" localSheetId="7">'AGOSTO 2021'!$A$1:$O$183</definedName>
    <definedName name="_xlnm.Print_Area" localSheetId="11">DICIEMBRE!$A$1:$O$183</definedName>
    <definedName name="_xlnm.Print_Area" localSheetId="0">'ENERO 2021'!$A$1:$O$178</definedName>
    <definedName name="_xlnm.Print_Area" localSheetId="1">'FEBRERO 2021'!$A$1:$O$178</definedName>
    <definedName name="_xlnm.Print_Area" localSheetId="6">'JULIO 2021'!$A$1:$O$183</definedName>
    <definedName name="_xlnm.Print_Area" localSheetId="5">'JUNIO 2021'!$A$1:$O$182</definedName>
    <definedName name="_xlnm.Print_Area" localSheetId="2">'MARZO 2021'!$A$1:$O$182</definedName>
    <definedName name="_xlnm.Print_Area" localSheetId="4">'MAYO 2021'!$A$1:$O$182</definedName>
    <definedName name="_xlnm.Print_Area" localSheetId="10">NOVIEMBRE!$A$1:$O$183</definedName>
    <definedName name="_xlnm.Print_Area" localSheetId="9">'OCTUBRE 2021'!$A$1:$O$183</definedName>
    <definedName name="_xlnm.Print_Area" localSheetId="8">'SEPTIEMBRE 2021'!$A$1:$O$183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48" l="1"/>
  <c r="C165" i="48" s="1"/>
  <c r="M20" i="48"/>
  <c r="M18" i="48"/>
  <c r="N18" i="48" s="1"/>
  <c r="M15" i="48"/>
  <c r="N15" i="48" s="1"/>
  <c r="M13" i="48"/>
  <c r="C163" i="48"/>
  <c r="C152" i="48"/>
  <c r="C151" i="48"/>
  <c r="K138" i="48"/>
  <c r="J138" i="48"/>
  <c r="I138" i="48"/>
  <c r="H138" i="48"/>
  <c r="G138" i="48"/>
  <c r="G139" i="48" s="1"/>
  <c r="F138" i="48"/>
  <c r="E138" i="48"/>
  <c r="D138" i="48"/>
  <c r="N137" i="48"/>
  <c r="L137" i="48"/>
  <c r="L136" i="48"/>
  <c r="N136" i="48" s="1"/>
  <c r="L135" i="48"/>
  <c r="N135" i="48" s="1"/>
  <c r="N134" i="48"/>
  <c r="L134" i="48"/>
  <c r="N130" i="48"/>
  <c r="L130" i="48"/>
  <c r="L129" i="48"/>
  <c r="N129" i="48" s="1"/>
  <c r="M128" i="48"/>
  <c r="L128" i="48"/>
  <c r="N128" i="48" s="1"/>
  <c r="C128" i="48"/>
  <c r="L127" i="48"/>
  <c r="N127" i="48" s="1"/>
  <c r="N126" i="48"/>
  <c r="L126" i="48"/>
  <c r="N125" i="48"/>
  <c r="L125" i="48"/>
  <c r="N124" i="48"/>
  <c r="L124" i="48"/>
  <c r="L119" i="48"/>
  <c r="N119" i="48" s="1"/>
  <c r="L118" i="48"/>
  <c r="N118" i="48" s="1"/>
  <c r="M117" i="48"/>
  <c r="L117" i="48"/>
  <c r="N117" i="48" s="1"/>
  <c r="L116" i="48"/>
  <c r="N116" i="48" s="1"/>
  <c r="N115" i="48"/>
  <c r="L115" i="48"/>
  <c r="N114" i="48"/>
  <c r="L114" i="48"/>
  <c r="L113" i="48"/>
  <c r="N113" i="48" s="1"/>
  <c r="L112" i="48"/>
  <c r="N112" i="48" s="1"/>
  <c r="N111" i="48"/>
  <c r="M111" i="48"/>
  <c r="L111" i="48"/>
  <c r="N110" i="48"/>
  <c r="M110" i="48"/>
  <c r="L110" i="48"/>
  <c r="C109" i="48"/>
  <c r="C138" i="48" s="1"/>
  <c r="N108" i="48"/>
  <c r="M108" i="48"/>
  <c r="L108" i="48"/>
  <c r="N107" i="48"/>
  <c r="L107" i="48"/>
  <c r="N106" i="48"/>
  <c r="L106" i="48"/>
  <c r="L105" i="48"/>
  <c r="N105" i="48" s="1"/>
  <c r="M104" i="48"/>
  <c r="L104" i="48"/>
  <c r="N104" i="48" s="1"/>
  <c r="L103" i="48"/>
  <c r="N103" i="48" s="1"/>
  <c r="N102" i="48"/>
  <c r="L102" i="48"/>
  <c r="N101" i="48"/>
  <c r="L101" i="48"/>
  <c r="L100" i="48"/>
  <c r="N100" i="48" s="1"/>
  <c r="L99" i="48"/>
  <c r="N99" i="48" s="1"/>
  <c r="N98" i="48"/>
  <c r="L98" i="48"/>
  <c r="N97" i="48"/>
  <c r="L97" i="48"/>
  <c r="L96" i="48"/>
  <c r="N96" i="48" s="1"/>
  <c r="L95" i="48"/>
  <c r="N95" i="48" s="1"/>
  <c r="N94" i="48"/>
  <c r="L94" i="48"/>
  <c r="N93" i="48"/>
  <c r="L93" i="48"/>
  <c r="L92" i="48"/>
  <c r="N92" i="48" s="1"/>
  <c r="L91" i="48"/>
  <c r="N91" i="48" s="1"/>
  <c r="N90" i="48"/>
  <c r="L90" i="48"/>
  <c r="N89" i="48"/>
  <c r="L89" i="48"/>
  <c r="L88" i="48"/>
  <c r="N88" i="48" s="1"/>
  <c r="L87" i="48"/>
  <c r="N87" i="48" s="1"/>
  <c r="N86" i="48"/>
  <c r="L86" i="48"/>
  <c r="N85" i="48"/>
  <c r="L85" i="48"/>
  <c r="L84" i="48"/>
  <c r="N84" i="48" s="1"/>
  <c r="L83" i="48"/>
  <c r="N83" i="48" s="1"/>
  <c r="N79" i="48"/>
  <c r="L79" i="48"/>
  <c r="N78" i="48"/>
  <c r="L78" i="48"/>
  <c r="L77" i="48"/>
  <c r="N77" i="48" s="1"/>
  <c r="L76" i="48"/>
  <c r="N76" i="48" s="1"/>
  <c r="N75" i="48"/>
  <c r="L75" i="48"/>
  <c r="N74" i="48"/>
  <c r="L74" i="48"/>
  <c r="L73" i="48"/>
  <c r="N73" i="48" s="1"/>
  <c r="L72" i="48"/>
  <c r="N72" i="48" s="1"/>
  <c r="N71" i="48"/>
  <c r="L71" i="48"/>
  <c r="N70" i="48"/>
  <c r="L70" i="48"/>
  <c r="M69" i="48"/>
  <c r="M138" i="48" s="1"/>
  <c r="L69" i="48"/>
  <c r="N69" i="48" s="1"/>
  <c r="L68" i="48"/>
  <c r="N68" i="48" s="1"/>
  <c r="L67" i="48"/>
  <c r="N67" i="48" s="1"/>
  <c r="N66" i="48"/>
  <c r="L66" i="48"/>
  <c r="N65" i="48"/>
  <c r="L65" i="48"/>
  <c r="L64" i="48"/>
  <c r="N64" i="48" s="1"/>
  <c r="N63" i="48"/>
  <c r="L63" i="48"/>
  <c r="L62" i="48"/>
  <c r="N62" i="48" s="1"/>
  <c r="L61" i="48"/>
  <c r="N61" i="48" s="1"/>
  <c r="N60" i="48"/>
  <c r="L60" i="48"/>
  <c r="N59" i="48"/>
  <c r="M59" i="48"/>
  <c r="L59" i="48"/>
  <c r="N58" i="48"/>
  <c r="L58" i="48"/>
  <c r="L57" i="48"/>
  <c r="N57" i="48" s="1"/>
  <c r="L56" i="48"/>
  <c r="N56" i="48" s="1"/>
  <c r="N55" i="48"/>
  <c r="L55" i="48"/>
  <c r="L54" i="48"/>
  <c r="N54" i="48" s="1"/>
  <c r="M53" i="48"/>
  <c r="L53" i="48"/>
  <c r="N53" i="48" s="1"/>
  <c r="L52" i="48"/>
  <c r="N52" i="48" s="1"/>
  <c r="L51" i="48"/>
  <c r="N51" i="48" s="1"/>
  <c r="N50" i="48"/>
  <c r="L50" i="48"/>
  <c r="N49" i="48"/>
  <c r="L49" i="48"/>
  <c r="L48" i="48"/>
  <c r="N48" i="48" s="1"/>
  <c r="L47" i="48"/>
  <c r="N47" i="48" s="1"/>
  <c r="N46" i="48"/>
  <c r="L46" i="48"/>
  <c r="N45" i="48"/>
  <c r="L45" i="48"/>
  <c r="L41" i="48"/>
  <c r="N41" i="48" s="1"/>
  <c r="L40" i="48"/>
  <c r="N40" i="48" s="1"/>
  <c r="L39" i="48"/>
  <c r="N39" i="48" s="1"/>
  <c r="N38" i="48"/>
  <c r="L38" i="48"/>
  <c r="N37" i="48"/>
  <c r="L37" i="48"/>
  <c r="L36" i="48"/>
  <c r="N36" i="48" s="1"/>
  <c r="L35" i="48"/>
  <c r="N35" i="48" s="1"/>
  <c r="N34" i="48"/>
  <c r="L34" i="48"/>
  <c r="N33" i="48"/>
  <c r="L33" i="48"/>
  <c r="L32" i="48"/>
  <c r="N32" i="48" s="1"/>
  <c r="L31" i="48"/>
  <c r="K26" i="48"/>
  <c r="J26" i="48"/>
  <c r="I26" i="48"/>
  <c r="H26" i="48"/>
  <c r="G26" i="48"/>
  <c r="F26" i="48"/>
  <c r="E26" i="48"/>
  <c r="D26" i="48"/>
  <c r="C26" i="48"/>
  <c r="N25" i="48"/>
  <c r="L25" i="48"/>
  <c r="N24" i="48"/>
  <c r="L24" i="48"/>
  <c r="M22" i="48"/>
  <c r="L22" i="48"/>
  <c r="N22" i="48" s="1"/>
  <c r="L21" i="48"/>
  <c r="N21" i="48" s="1"/>
  <c r="L20" i="48"/>
  <c r="L19" i="48"/>
  <c r="N19" i="48" s="1"/>
  <c r="L18" i="48"/>
  <c r="L15" i="48"/>
  <c r="N13" i="48"/>
  <c r="L13" i="48"/>
  <c r="N12" i="48"/>
  <c r="M12" i="48"/>
  <c r="L12" i="48"/>
  <c r="L11" i="48"/>
  <c r="N10" i="48"/>
  <c r="L10" i="48"/>
  <c r="L26" i="48" s="1"/>
  <c r="O59" i="48" l="1"/>
  <c r="N20" i="48"/>
  <c r="M26" i="48"/>
  <c r="O19" i="48" s="1"/>
  <c r="O135" i="48"/>
  <c r="O128" i="48"/>
  <c r="O126" i="48"/>
  <c r="O118" i="48"/>
  <c r="O117" i="48"/>
  <c r="O116" i="48"/>
  <c r="O112" i="48"/>
  <c r="O104" i="48"/>
  <c r="O103" i="48"/>
  <c r="O99" i="48"/>
  <c r="O95" i="48"/>
  <c r="O91" i="48"/>
  <c r="O87" i="48"/>
  <c r="O83" i="48"/>
  <c r="O76" i="48"/>
  <c r="O72" i="48"/>
  <c r="O67" i="48"/>
  <c r="O61" i="48"/>
  <c r="O56" i="48"/>
  <c r="O53" i="48"/>
  <c r="O52" i="48"/>
  <c r="O51" i="48"/>
  <c r="O47" i="48"/>
  <c r="O40" i="48"/>
  <c r="O39" i="48"/>
  <c r="O35" i="48"/>
  <c r="O31" i="48"/>
  <c r="O134" i="48"/>
  <c r="O125" i="48"/>
  <c r="O110" i="48"/>
  <c r="O108" i="48"/>
  <c r="O102" i="48"/>
  <c r="O98" i="48"/>
  <c r="O90" i="48"/>
  <c r="O71" i="48"/>
  <c r="O66" i="48"/>
  <c r="O50" i="48"/>
  <c r="O38" i="48"/>
  <c r="O34" i="48"/>
  <c r="C154" i="48"/>
  <c r="O136" i="48"/>
  <c r="O129" i="48"/>
  <c r="O127" i="48"/>
  <c r="O119" i="48"/>
  <c r="O113" i="48"/>
  <c r="O105" i="48"/>
  <c r="O100" i="48"/>
  <c r="O96" i="48"/>
  <c r="O92" i="48"/>
  <c r="O88" i="48"/>
  <c r="O84" i="48"/>
  <c r="O77" i="48"/>
  <c r="O73" i="48"/>
  <c r="O68" i="48"/>
  <c r="O64" i="48"/>
  <c r="O57" i="48"/>
  <c r="O54" i="48"/>
  <c r="O48" i="48"/>
  <c r="O41" i="48"/>
  <c r="O36" i="48"/>
  <c r="O32" i="48"/>
  <c r="O111" i="48"/>
  <c r="O109" i="48"/>
  <c r="O107" i="48"/>
  <c r="O94" i="48"/>
  <c r="O79" i="48"/>
  <c r="O46" i="48"/>
  <c r="O137" i="48"/>
  <c r="O130" i="48"/>
  <c r="O124" i="48"/>
  <c r="O114" i="48"/>
  <c r="O106" i="48"/>
  <c r="O101" i="48"/>
  <c r="O97" i="48"/>
  <c r="O93" i="48"/>
  <c r="O89" i="48"/>
  <c r="O85" i="48"/>
  <c r="O78" i="48"/>
  <c r="O74" i="48"/>
  <c r="O70" i="48"/>
  <c r="O65" i="48"/>
  <c r="O58" i="48"/>
  <c r="O49" i="48"/>
  <c r="O45" i="48"/>
  <c r="O37" i="48"/>
  <c r="O33" i="48"/>
  <c r="O115" i="48"/>
  <c r="O86" i="48"/>
  <c r="O75" i="48"/>
  <c r="O60" i="48"/>
  <c r="N26" i="48"/>
  <c r="N31" i="48"/>
  <c r="N138" i="48" s="1"/>
  <c r="O69" i="48"/>
  <c r="L109" i="48"/>
  <c r="N109" i="48" s="1"/>
  <c r="O34" i="47"/>
  <c r="L12" i="47"/>
  <c r="L10" i="47"/>
  <c r="L15" i="47"/>
  <c r="O15" i="48" l="1"/>
  <c r="O25" i="48"/>
  <c r="O18" i="48"/>
  <c r="O21" i="48"/>
  <c r="O24" i="48"/>
  <c r="O20" i="48"/>
  <c r="O10" i="48"/>
  <c r="O22" i="48"/>
  <c r="O12" i="48"/>
  <c r="O13" i="48"/>
  <c r="C153" i="48"/>
  <c r="C155" i="48" s="1"/>
  <c r="C168" i="48" s="1"/>
  <c r="L138" i="48"/>
  <c r="M20" i="47"/>
  <c r="M18" i="47"/>
  <c r="M15" i="47"/>
  <c r="C160" i="47"/>
  <c r="M12" i="47"/>
  <c r="C170" i="48" l="1"/>
  <c r="C163" i="47"/>
  <c r="C165" i="47"/>
  <c r="C152" i="47"/>
  <c r="C151" i="47"/>
  <c r="K138" i="47"/>
  <c r="J138" i="47"/>
  <c r="I138" i="47"/>
  <c r="H138" i="47"/>
  <c r="G138" i="47"/>
  <c r="F138" i="47"/>
  <c r="E138" i="47"/>
  <c r="D138" i="47"/>
  <c r="L137" i="47"/>
  <c r="N137" i="47" s="1"/>
  <c r="L136" i="47"/>
  <c r="N136" i="47" s="1"/>
  <c r="L135" i="47"/>
  <c r="N135" i="47" s="1"/>
  <c r="L134" i="47"/>
  <c r="N134" i="47" s="1"/>
  <c r="L130" i="47"/>
  <c r="N130" i="47" s="1"/>
  <c r="L129" i="47"/>
  <c r="N129" i="47" s="1"/>
  <c r="M128" i="47"/>
  <c r="L128" i="47"/>
  <c r="N128" i="47" s="1"/>
  <c r="C128" i="47"/>
  <c r="N127" i="47"/>
  <c r="L127" i="47"/>
  <c r="L126" i="47"/>
  <c r="N126" i="47" s="1"/>
  <c r="L125" i="47"/>
  <c r="N125" i="47" s="1"/>
  <c r="N124" i="47"/>
  <c r="L124" i="47"/>
  <c r="L119" i="47"/>
  <c r="N119" i="47" s="1"/>
  <c r="M118" i="47"/>
  <c r="L118" i="47"/>
  <c r="N118" i="47" s="1"/>
  <c r="M117" i="47"/>
  <c r="N117" i="47" s="1"/>
  <c r="L117" i="47"/>
  <c r="N116" i="47"/>
  <c r="L116" i="47"/>
  <c r="L115" i="47"/>
  <c r="N115" i="47" s="1"/>
  <c r="L114" i="47"/>
  <c r="N114" i="47" s="1"/>
  <c r="N113" i="47"/>
  <c r="L113" i="47"/>
  <c r="N112" i="47"/>
  <c r="L112" i="47"/>
  <c r="M111" i="47"/>
  <c r="L111" i="47"/>
  <c r="M110" i="47"/>
  <c r="L110" i="47"/>
  <c r="L109" i="47"/>
  <c r="N109" i="47" s="1"/>
  <c r="C109" i="47"/>
  <c r="C138" i="47" s="1"/>
  <c r="M108" i="47"/>
  <c r="L108" i="47"/>
  <c r="L107" i="47"/>
  <c r="N107" i="47" s="1"/>
  <c r="L106" i="47"/>
  <c r="N106" i="47" s="1"/>
  <c r="N105" i="47"/>
  <c r="L105" i="47"/>
  <c r="N104" i="47"/>
  <c r="M104" i="47"/>
  <c r="L104" i="47"/>
  <c r="L103" i="47"/>
  <c r="N103" i="47" s="1"/>
  <c r="L102" i="47"/>
  <c r="N102" i="47" s="1"/>
  <c r="L101" i="47"/>
  <c r="N101" i="47" s="1"/>
  <c r="L100" i="47"/>
  <c r="N100" i="47" s="1"/>
  <c r="N99" i="47"/>
  <c r="L99" i="47"/>
  <c r="L98" i="47"/>
  <c r="N98" i="47" s="1"/>
  <c r="L97" i="47"/>
  <c r="N97" i="47" s="1"/>
  <c r="L96" i="47"/>
  <c r="N96" i="47" s="1"/>
  <c r="N95" i="47"/>
  <c r="L95" i="47"/>
  <c r="N94" i="47"/>
  <c r="L94" i="47"/>
  <c r="L93" i="47"/>
  <c r="N93" i="47" s="1"/>
  <c r="L92" i="47"/>
  <c r="N92" i="47" s="1"/>
  <c r="N91" i="47"/>
  <c r="L91" i="47"/>
  <c r="L90" i="47"/>
  <c r="N90" i="47" s="1"/>
  <c r="L89" i="47"/>
  <c r="N89" i="47" s="1"/>
  <c r="N88" i="47"/>
  <c r="L88" i="47"/>
  <c r="N87" i="47"/>
  <c r="L87" i="47"/>
  <c r="N86" i="47"/>
  <c r="L86" i="47"/>
  <c r="L85" i="47"/>
  <c r="N85" i="47" s="1"/>
  <c r="N84" i="47"/>
  <c r="L84" i="47"/>
  <c r="L83" i="47"/>
  <c r="N83" i="47" s="1"/>
  <c r="L79" i="47"/>
  <c r="N79" i="47" s="1"/>
  <c r="L78" i="47"/>
  <c r="N78" i="47" s="1"/>
  <c r="N77" i="47"/>
  <c r="L77" i="47"/>
  <c r="L76" i="47"/>
  <c r="N76" i="47" s="1"/>
  <c r="L75" i="47"/>
  <c r="N75" i="47" s="1"/>
  <c r="L74" i="47"/>
  <c r="N74" i="47" s="1"/>
  <c r="L73" i="47"/>
  <c r="N73" i="47" s="1"/>
  <c r="L72" i="47"/>
  <c r="N72" i="47" s="1"/>
  <c r="L71" i="47"/>
  <c r="N71" i="47" s="1"/>
  <c r="L70" i="47"/>
  <c r="N70" i="47" s="1"/>
  <c r="M69" i="47"/>
  <c r="L69" i="47"/>
  <c r="N69" i="47" s="1"/>
  <c r="N68" i="47"/>
  <c r="L68" i="47"/>
  <c r="L67" i="47"/>
  <c r="N67" i="47" s="1"/>
  <c r="N66" i="47"/>
  <c r="L66" i="47"/>
  <c r="L65" i="47"/>
  <c r="N65" i="47" s="1"/>
  <c r="L64" i="47"/>
  <c r="N64" i="47" s="1"/>
  <c r="N63" i="47"/>
  <c r="L63" i="47"/>
  <c r="L62" i="47"/>
  <c r="N62" i="47" s="1"/>
  <c r="L61" i="47"/>
  <c r="N61" i="47" s="1"/>
  <c r="L60" i="47"/>
  <c r="N60" i="47" s="1"/>
  <c r="M59" i="47"/>
  <c r="L59" i="47"/>
  <c r="L58" i="47"/>
  <c r="N58" i="47" s="1"/>
  <c r="L57" i="47"/>
  <c r="N57" i="47" s="1"/>
  <c r="N56" i="47"/>
  <c r="L56" i="47"/>
  <c r="L55" i="47"/>
  <c r="N55" i="47" s="1"/>
  <c r="N54" i="47"/>
  <c r="L54" i="47"/>
  <c r="M53" i="47"/>
  <c r="L53" i="47"/>
  <c r="N52" i="47"/>
  <c r="M52" i="47"/>
  <c r="L52" i="47"/>
  <c r="L51" i="47"/>
  <c r="N51" i="47" s="1"/>
  <c r="N50" i="47"/>
  <c r="L50" i="47"/>
  <c r="N49" i="47"/>
  <c r="L49" i="47"/>
  <c r="N48" i="47"/>
  <c r="L48" i="47"/>
  <c r="L47" i="47"/>
  <c r="N47" i="47" s="1"/>
  <c r="L46" i="47"/>
  <c r="N46" i="47" s="1"/>
  <c r="L45" i="47"/>
  <c r="N45" i="47" s="1"/>
  <c r="L41" i="47"/>
  <c r="N41" i="47" s="1"/>
  <c r="M40" i="47"/>
  <c r="L40" i="47"/>
  <c r="N40" i="47" s="1"/>
  <c r="L39" i="47"/>
  <c r="N39" i="47" s="1"/>
  <c r="L38" i="47"/>
  <c r="N38" i="47" s="1"/>
  <c r="L37" i="47"/>
  <c r="N37" i="47" s="1"/>
  <c r="L36" i="47"/>
  <c r="N36" i="47" s="1"/>
  <c r="L35" i="47"/>
  <c r="N35" i="47" s="1"/>
  <c r="L34" i="47"/>
  <c r="N34" i="47" s="1"/>
  <c r="L33" i="47"/>
  <c r="N33" i="47" s="1"/>
  <c r="L32" i="47"/>
  <c r="N32" i="47" s="1"/>
  <c r="L31" i="47"/>
  <c r="K26" i="47"/>
  <c r="J26" i="47"/>
  <c r="I26" i="47"/>
  <c r="H26" i="47"/>
  <c r="G26" i="47"/>
  <c r="F26" i="47"/>
  <c r="E26" i="47"/>
  <c r="D26" i="47"/>
  <c r="C26" i="47"/>
  <c r="L25" i="47"/>
  <c r="N25" i="47" s="1"/>
  <c r="N24" i="47"/>
  <c r="L24" i="47"/>
  <c r="M22" i="47"/>
  <c r="M26" i="47" s="1"/>
  <c r="L22" i="47"/>
  <c r="N22" i="47" s="1"/>
  <c r="L21" i="47"/>
  <c r="N21" i="47" s="1"/>
  <c r="L20" i="47"/>
  <c r="N20" i="47" s="1"/>
  <c r="L19" i="47"/>
  <c r="N19" i="47" s="1"/>
  <c r="N18" i="47"/>
  <c r="L18" i="47"/>
  <c r="N15" i="47"/>
  <c r="L13" i="47"/>
  <c r="N13" i="47" s="1"/>
  <c r="N12" i="47"/>
  <c r="L11" i="47"/>
  <c r="M138" i="47" l="1"/>
  <c r="O118" i="47" s="1"/>
  <c r="N53" i="47"/>
  <c r="N108" i="47"/>
  <c r="N110" i="47"/>
  <c r="N59" i="47"/>
  <c r="N111" i="47"/>
  <c r="G139" i="47"/>
  <c r="L26" i="47"/>
  <c r="L138" i="47"/>
  <c r="O98" i="47"/>
  <c r="O125" i="47"/>
  <c r="O114" i="47"/>
  <c r="O96" i="47"/>
  <c r="O92" i="47"/>
  <c r="O77" i="47"/>
  <c r="O73" i="47"/>
  <c r="O64" i="47"/>
  <c r="O57" i="47"/>
  <c r="O38" i="47"/>
  <c r="O31" i="47"/>
  <c r="O61" i="47"/>
  <c r="O56" i="47"/>
  <c r="O51" i="47"/>
  <c r="O49" i="47"/>
  <c r="O126" i="47"/>
  <c r="O115" i="47"/>
  <c r="O102" i="47"/>
  <c r="O97" i="47"/>
  <c r="O85" i="47"/>
  <c r="O78" i="47"/>
  <c r="O65" i="47"/>
  <c r="O58" i="47"/>
  <c r="O35" i="47"/>
  <c r="O32" i="47"/>
  <c r="O113" i="47"/>
  <c r="O105" i="47"/>
  <c r="O87" i="47"/>
  <c r="C154" i="47"/>
  <c r="O127" i="47"/>
  <c r="O116" i="47"/>
  <c r="O99" i="47"/>
  <c r="O94" i="47"/>
  <c r="O79" i="47"/>
  <c r="O75" i="47"/>
  <c r="O60" i="47"/>
  <c r="O48" i="47"/>
  <c r="O33" i="47"/>
  <c r="O124" i="47"/>
  <c r="O72" i="47"/>
  <c r="O50" i="47"/>
  <c r="O108" i="47"/>
  <c r="O110" i="47"/>
  <c r="O20" i="47"/>
  <c r="O19" i="47"/>
  <c r="O25" i="47"/>
  <c r="O21" i="47"/>
  <c r="O12" i="47"/>
  <c r="O10" i="47"/>
  <c r="C153" i="47"/>
  <c r="O18" i="47"/>
  <c r="O15" i="47"/>
  <c r="O24" i="47"/>
  <c r="O13" i="47"/>
  <c r="O111" i="47"/>
  <c r="O119" i="47"/>
  <c r="N10" i="47"/>
  <c r="N26" i="47" s="1"/>
  <c r="O22" i="47"/>
  <c r="N31" i="47"/>
  <c r="N138" i="47" s="1"/>
  <c r="O40" i="47"/>
  <c r="C160" i="46"/>
  <c r="M20" i="46"/>
  <c r="M18" i="46"/>
  <c r="M26" i="46" s="1"/>
  <c r="N15" i="46"/>
  <c r="C163" i="46"/>
  <c r="C165" i="46"/>
  <c r="C152" i="46"/>
  <c r="C151" i="46"/>
  <c r="K138" i="46"/>
  <c r="J138" i="46"/>
  <c r="I138" i="46"/>
  <c r="H138" i="46"/>
  <c r="G138" i="46"/>
  <c r="G139" i="46" s="1"/>
  <c r="F138" i="46"/>
  <c r="E138" i="46"/>
  <c r="D138" i="46"/>
  <c r="L137" i="46"/>
  <c r="N137" i="46" s="1"/>
  <c r="N136" i="46"/>
  <c r="L136" i="46"/>
  <c r="N135" i="46"/>
  <c r="L135" i="46"/>
  <c r="L134" i="46"/>
  <c r="N134" i="46" s="1"/>
  <c r="N130" i="46"/>
  <c r="L130" i="46"/>
  <c r="L129" i="46"/>
  <c r="N129" i="46" s="1"/>
  <c r="N128" i="46"/>
  <c r="M128" i="46"/>
  <c r="L128" i="46"/>
  <c r="C128" i="46"/>
  <c r="L127" i="46"/>
  <c r="N127" i="46" s="1"/>
  <c r="N126" i="46"/>
  <c r="L126" i="46"/>
  <c r="L125" i="46"/>
  <c r="N125" i="46" s="1"/>
  <c r="N124" i="46"/>
  <c r="L124" i="46"/>
  <c r="M119" i="46"/>
  <c r="N119" i="46" s="1"/>
  <c r="L119" i="46"/>
  <c r="M118" i="46"/>
  <c r="N118" i="46" s="1"/>
  <c r="L118" i="46"/>
  <c r="M117" i="46"/>
  <c r="N117" i="46" s="1"/>
  <c r="L117" i="46"/>
  <c r="L116" i="46"/>
  <c r="N116" i="46" s="1"/>
  <c r="N115" i="46"/>
  <c r="L115" i="46"/>
  <c r="L114" i="46"/>
  <c r="N114" i="46" s="1"/>
  <c r="L113" i="46"/>
  <c r="N113" i="46" s="1"/>
  <c r="L112" i="46"/>
  <c r="N112" i="46" s="1"/>
  <c r="M111" i="46"/>
  <c r="L111" i="46"/>
  <c r="N111" i="46" s="1"/>
  <c r="M110" i="46"/>
  <c r="L110" i="46"/>
  <c r="N110" i="46" s="1"/>
  <c r="C109" i="46"/>
  <c r="C138" i="46" s="1"/>
  <c r="M108" i="46"/>
  <c r="L108" i="46"/>
  <c r="N108" i="46" s="1"/>
  <c r="N107" i="46"/>
  <c r="L107" i="46"/>
  <c r="L106" i="46"/>
  <c r="N106" i="46" s="1"/>
  <c r="N105" i="46"/>
  <c r="L105" i="46"/>
  <c r="M104" i="46"/>
  <c r="L104" i="46"/>
  <c r="N104" i="46" s="1"/>
  <c r="L103" i="46"/>
  <c r="N103" i="46" s="1"/>
  <c r="N102" i="46"/>
  <c r="L102" i="46"/>
  <c r="L101" i="46"/>
  <c r="N101" i="46" s="1"/>
  <c r="N100" i="46"/>
  <c r="L100" i="46"/>
  <c r="L99" i="46"/>
  <c r="N99" i="46" s="1"/>
  <c r="M98" i="46"/>
  <c r="L98" i="46"/>
  <c r="N98" i="46" s="1"/>
  <c r="L97" i="46"/>
  <c r="N97" i="46" s="1"/>
  <c r="L96" i="46"/>
  <c r="N96" i="46" s="1"/>
  <c r="L95" i="46"/>
  <c r="N95" i="46" s="1"/>
  <c r="N94" i="46"/>
  <c r="L94" i="46"/>
  <c r="L93" i="46"/>
  <c r="N93" i="46" s="1"/>
  <c r="N92" i="46"/>
  <c r="L92" i="46"/>
  <c r="L91" i="46"/>
  <c r="N91" i="46" s="1"/>
  <c r="L90" i="46"/>
  <c r="N90" i="46" s="1"/>
  <c r="L89" i="46"/>
  <c r="N89" i="46" s="1"/>
  <c r="L88" i="46"/>
  <c r="N88" i="46" s="1"/>
  <c r="L87" i="46"/>
  <c r="N87" i="46" s="1"/>
  <c r="L86" i="46"/>
  <c r="N86" i="46" s="1"/>
  <c r="N85" i="46"/>
  <c r="L85" i="46"/>
  <c r="L84" i="46"/>
  <c r="N84" i="46" s="1"/>
  <c r="N83" i="46"/>
  <c r="L83" i="46"/>
  <c r="N79" i="46"/>
  <c r="L79" i="46"/>
  <c r="N78" i="46"/>
  <c r="L78" i="46"/>
  <c r="L77" i="46"/>
  <c r="N77" i="46" s="1"/>
  <c r="N76" i="46"/>
  <c r="L76" i="46"/>
  <c r="N75" i="46"/>
  <c r="L75" i="46"/>
  <c r="L74" i="46"/>
  <c r="N74" i="46" s="1"/>
  <c r="N73" i="46"/>
  <c r="L73" i="46"/>
  <c r="L72" i="46"/>
  <c r="N72" i="46" s="1"/>
  <c r="L71" i="46"/>
  <c r="N71" i="46" s="1"/>
  <c r="N70" i="46"/>
  <c r="L70" i="46"/>
  <c r="M69" i="46"/>
  <c r="N69" i="46" s="1"/>
  <c r="L69" i="46"/>
  <c r="N68" i="46"/>
  <c r="L68" i="46"/>
  <c r="N67" i="46"/>
  <c r="L67" i="46"/>
  <c r="L66" i="46"/>
  <c r="N66" i="46" s="1"/>
  <c r="N65" i="46"/>
  <c r="L65" i="46"/>
  <c r="L64" i="46"/>
  <c r="N64" i="46" s="1"/>
  <c r="L63" i="46"/>
  <c r="N63" i="46" s="1"/>
  <c r="L62" i="46"/>
  <c r="N62" i="46" s="1"/>
  <c r="N61" i="46"/>
  <c r="L61" i="46"/>
  <c r="L60" i="46"/>
  <c r="N60" i="46" s="1"/>
  <c r="N59" i="46"/>
  <c r="M59" i="46"/>
  <c r="L59" i="46"/>
  <c r="N58" i="46"/>
  <c r="L58" i="46"/>
  <c r="L57" i="46"/>
  <c r="N57" i="46" s="1"/>
  <c r="N56" i="46"/>
  <c r="L56" i="46"/>
  <c r="N55" i="46"/>
  <c r="L55" i="46"/>
  <c r="N54" i="46"/>
  <c r="L54" i="46"/>
  <c r="M53" i="46"/>
  <c r="L53" i="46"/>
  <c r="N53" i="46" s="1"/>
  <c r="M52" i="46"/>
  <c r="L52" i="46"/>
  <c r="N52" i="46" s="1"/>
  <c r="M51" i="46"/>
  <c r="L51" i="46"/>
  <c r="N51" i="46" s="1"/>
  <c r="M50" i="46"/>
  <c r="L50" i="46"/>
  <c r="N50" i="46" s="1"/>
  <c r="L49" i="46"/>
  <c r="N49" i="46" s="1"/>
  <c r="L48" i="46"/>
  <c r="N48" i="46" s="1"/>
  <c r="N47" i="46"/>
  <c r="L47" i="46"/>
  <c r="N46" i="46"/>
  <c r="L46" i="46"/>
  <c r="N45" i="46"/>
  <c r="L45" i="46"/>
  <c r="L41" i="46"/>
  <c r="N41" i="46" s="1"/>
  <c r="N40" i="46"/>
  <c r="M40" i="46"/>
  <c r="L40" i="46"/>
  <c r="N39" i="46"/>
  <c r="L39" i="46"/>
  <c r="L38" i="46"/>
  <c r="N38" i="46" s="1"/>
  <c r="L37" i="46"/>
  <c r="N37" i="46" s="1"/>
  <c r="L36" i="46"/>
  <c r="N36" i="46" s="1"/>
  <c r="L35" i="46"/>
  <c r="N35" i="46" s="1"/>
  <c r="N34" i="46"/>
  <c r="L34" i="46"/>
  <c r="N33" i="46"/>
  <c r="L33" i="46"/>
  <c r="N32" i="46"/>
  <c r="L32" i="46"/>
  <c r="M138" i="46"/>
  <c r="L31" i="46"/>
  <c r="K26" i="46"/>
  <c r="J26" i="46"/>
  <c r="I26" i="46"/>
  <c r="H26" i="46"/>
  <c r="G26" i="46"/>
  <c r="F26" i="46"/>
  <c r="E26" i="46"/>
  <c r="D26" i="46"/>
  <c r="C26" i="46"/>
  <c r="L25" i="46"/>
  <c r="N25" i="46" s="1"/>
  <c r="N24" i="46"/>
  <c r="L24" i="46"/>
  <c r="M22" i="46"/>
  <c r="L22" i="46"/>
  <c r="N22" i="46" s="1"/>
  <c r="L21" i="46"/>
  <c r="N21" i="46" s="1"/>
  <c r="L20" i="46"/>
  <c r="N19" i="46"/>
  <c r="L19" i="46"/>
  <c r="L18" i="46"/>
  <c r="L15" i="46"/>
  <c r="L13" i="46"/>
  <c r="N13" i="46" s="1"/>
  <c r="N12" i="46"/>
  <c r="L12" i="46"/>
  <c r="L26" i="46" s="1"/>
  <c r="L11" i="46"/>
  <c r="L10" i="46"/>
  <c r="O104" i="47" l="1"/>
  <c r="O128" i="47"/>
  <c r="O59" i="47"/>
  <c r="O83" i="47"/>
  <c r="O36" i="47"/>
  <c r="O66" i="47"/>
  <c r="O86" i="47"/>
  <c r="O103" i="47"/>
  <c r="O129" i="47"/>
  <c r="O91" i="47"/>
  <c r="O130" i="47"/>
  <c r="O39" i="47"/>
  <c r="O70" i="47"/>
  <c r="O89" i="47"/>
  <c r="O107" i="47"/>
  <c r="O135" i="47"/>
  <c r="O52" i="47"/>
  <c r="O67" i="47"/>
  <c r="O46" i="47"/>
  <c r="O68" i="47"/>
  <c r="O84" i="47"/>
  <c r="O101" i="47"/>
  <c r="O134" i="47"/>
  <c r="O117" i="47"/>
  <c r="O37" i="47"/>
  <c r="O100" i="47"/>
  <c r="O41" i="47"/>
  <c r="O71" i="47"/>
  <c r="O90" i="47"/>
  <c r="O112" i="47"/>
  <c r="O136" i="47"/>
  <c r="O95" i="47"/>
  <c r="O137" i="47"/>
  <c r="O47" i="47"/>
  <c r="O74" i="47"/>
  <c r="O93" i="47"/>
  <c r="O109" i="47"/>
  <c r="O45" i="47"/>
  <c r="O53" i="47"/>
  <c r="O76" i="47"/>
  <c r="O54" i="47"/>
  <c r="O69" i="47"/>
  <c r="O88" i="47"/>
  <c r="O106" i="47"/>
  <c r="C155" i="47"/>
  <c r="C170" i="47" s="1"/>
  <c r="O50" i="46"/>
  <c r="O52" i="46"/>
  <c r="O114" i="46"/>
  <c r="O37" i="46"/>
  <c r="O87" i="46"/>
  <c r="O89" i="46"/>
  <c r="O91" i="46"/>
  <c r="O96" i="46"/>
  <c r="O98" i="46"/>
  <c r="N20" i="46"/>
  <c r="N18" i="46"/>
  <c r="O20" i="46"/>
  <c r="O19" i="46"/>
  <c r="O13" i="46"/>
  <c r="O21" i="46"/>
  <c r="O18" i="46"/>
  <c r="O15" i="46"/>
  <c r="O24" i="46"/>
  <c r="C153" i="46"/>
  <c r="O25" i="46"/>
  <c r="O10" i="46"/>
  <c r="O22" i="46"/>
  <c r="O130" i="46"/>
  <c r="O124" i="46"/>
  <c r="O111" i="46"/>
  <c r="O110" i="46"/>
  <c r="O109" i="46"/>
  <c r="O108" i="46"/>
  <c r="O107" i="46"/>
  <c r="O102" i="46"/>
  <c r="O94" i="46"/>
  <c r="O85" i="46"/>
  <c r="O76" i="46"/>
  <c r="O71" i="46"/>
  <c r="O70" i="46"/>
  <c r="O61" i="46"/>
  <c r="O56" i="46"/>
  <c r="O47" i="46"/>
  <c r="O75" i="46"/>
  <c r="O69" i="46"/>
  <c r="O68" i="46"/>
  <c r="O66" i="46"/>
  <c r="O46" i="46"/>
  <c r="O41" i="46"/>
  <c r="O134" i="46"/>
  <c r="O125" i="46"/>
  <c r="O112" i="46"/>
  <c r="O103" i="46"/>
  <c r="O95" i="46"/>
  <c r="O86" i="46"/>
  <c r="O77" i="46"/>
  <c r="O72" i="46"/>
  <c r="O64" i="46"/>
  <c r="O57" i="46"/>
  <c r="O48" i="46"/>
  <c r="O35" i="46"/>
  <c r="O93" i="46"/>
  <c r="O60" i="46"/>
  <c r="O31" i="46"/>
  <c r="C154" i="46"/>
  <c r="O135" i="46"/>
  <c r="O126" i="46"/>
  <c r="O115" i="46"/>
  <c r="O105" i="46"/>
  <c r="O100" i="46"/>
  <c r="O92" i="46"/>
  <c r="O78" i="46"/>
  <c r="O73" i="46"/>
  <c r="O65" i="46"/>
  <c r="O58" i="46"/>
  <c r="O54" i="46"/>
  <c r="O39" i="46"/>
  <c r="O137" i="46"/>
  <c r="O129" i="46"/>
  <c r="O127" i="46"/>
  <c r="O119" i="46"/>
  <c r="O118" i="46"/>
  <c r="O117" i="46"/>
  <c r="O116" i="46"/>
  <c r="O106" i="46"/>
  <c r="O101" i="46"/>
  <c r="O84" i="46"/>
  <c r="O74" i="46"/>
  <c r="O67" i="46"/>
  <c r="O45" i="46"/>
  <c r="O33" i="46"/>
  <c r="O32" i="46"/>
  <c r="O49" i="46"/>
  <c r="O51" i="46"/>
  <c r="O53" i="46"/>
  <c r="O59" i="46"/>
  <c r="O83" i="46"/>
  <c r="O113" i="46"/>
  <c r="O128" i="46"/>
  <c r="O12" i="46"/>
  <c r="O36" i="46"/>
  <c r="O38" i="46"/>
  <c r="O40" i="46"/>
  <c r="O79" i="46"/>
  <c r="O88" i="46"/>
  <c r="O90" i="46"/>
  <c r="O97" i="46"/>
  <c r="O99" i="46"/>
  <c r="O104" i="46"/>
  <c r="O136" i="46"/>
  <c r="L109" i="46"/>
  <c r="N109" i="46" s="1"/>
  <c r="N10" i="46"/>
  <c r="N31" i="46"/>
  <c r="C160" i="45"/>
  <c r="C160" i="44"/>
  <c r="C168" i="47" l="1"/>
  <c r="N26" i="46"/>
  <c r="C155" i="46"/>
  <c r="C170" i="46" s="1"/>
  <c r="L138" i="46"/>
  <c r="N138" i="46"/>
  <c r="C165" i="45"/>
  <c r="M45" i="45"/>
  <c r="M136" i="45"/>
  <c r="N136" i="45" s="1"/>
  <c r="M128" i="45"/>
  <c r="M119" i="45"/>
  <c r="N119" i="45" s="1"/>
  <c r="M114" i="45"/>
  <c r="M113" i="45"/>
  <c r="M108" i="45"/>
  <c r="M98" i="45"/>
  <c r="M96" i="45"/>
  <c r="M90" i="45"/>
  <c r="M89" i="45"/>
  <c r="M88" i="45"/>
  <c r="M83" i="45"/>
  <c r="M79" i="45"/>
  <c r="M75" i="45"/>
  <c r="N75" i="45" s="1"/>
  <c r="M68" i="45"/>
  <c r="M67" i="45"/>
  <c r="N67" i="45" s="1"/>
  <c r="M55" i="45"/>
  <c r="M51" i="45"/>
  <c r="N51" i="45" s="1"/>
  <c r="M49" i="45"/>
  <c r="N49" i="45" s="1"/>
  <c r="M46" i="45"/>
  <c r="M38" i="45"/>
  <c r="M37" i="45"/>
  <c r="M34" i="45"/>
  <c r="M33" i="45"/>
  <c r="M32" i="45"/>
  <c r="M31" i="45"/>
  <c r="M20" i="45"/>
  <c r="M18" i="45"/>
  <c r="M15" i="45"/>
  <c r="M12" i="45"/>
  <c r="M10" i="45"/>
  <c r="C163" i="45"/>
  <c r="C152" i="45"/>
  <c r="C151" i="45"/>
  <c r="K138" i="45"/>
  <c r="J138" i="45"/>
  <c r="I138" i="45"/>
  <c r="H138" i="45"/>
  <c r="G138" i="45"/>
  <c r="F138" i="45"/>
  <c r="E138" i="45"/>
  <c r="D138" i="45"/>
  <c r="L137" i="45"/>
  <c r="N137" i="45" s="1"/>
  <c r="L136" i="45"/>
  <c r="N135" i="45"/>
  <c r="L135" i="45"/>
  <c r="L134" i="45"/>
  <c r="N134" i="45" s="1"/>
  <c r="L130" i="45"/>
  <c r="N130" i="45" s="1"/>
  <c r="L129" i="45"/>
  <c r="N129" i="45" s="1"/>
  <c r="C128" i="45"/>
  <c r="L128" i="45" s="1"/>
  <c r="N127" i="45"/>
  <c r="L127" i="45"/>
  <c r="L126" i="45"/>
  <c r="N126" i="45" s="1"/>
  <c r="L125" i="45"/>
  <c r="N125" i="45" s="1"/>
  <c r="L124" i="45"/>
  <c r="N124" i="45" s="1"/>
  <c r="L119" i="45"/>
  <c r="N118" i="45"/>
  <c r="M118" i="45"/>
  <c r="L118" i="45"/>
  <c r="N117" i="45"/>
  <c r="M117" i="45"/>
  <c r="L117" i="45"/>
  <c r="N116" i="45"/>
  <c r="L116" i="45"/>
  <c r="L115" i="45"/>
  <c r="N115" i="45" s="1"/>
  <c r="L114" i="45"/>
  <c r="L113" i="45"/>
  <c r="L112" i="45"/>
  <c r="N112" i="45" s="1"/>
  <c r="M111" i="45"/>
  <c r="L111" i="45"/>
  <c r="M110" i="45"/>
  <c r="N110" i="45" s="1"/>
  <c r="L110" i="45"/>
  <c r="L109" i="45"/>
  <c r="N109" i="45" s="1"/>
  <c r="C109" i="45"/>
  <c r="C138" i="45" s="1"/>
  <c r="L108" i="45"/>
  <c r="N108" i="45" s="1"/>
  <c r="L107" i="45"/>
  <c r="N107" i="45" s="1"/>
  <c r="N106" i="45"/>
  <c r="L106" i="45"/>
  <c r="L105" i="45"/>
  <c r="N105" i="45" s="1"/>
  <c r="M104" i="45"/>
  <c r="L104" i="45"/>
  <c r="N104" i="45" s="1"/>
  <c r="L103" i="45"/>
  <c r="N103" i="45" s="1"/>
  <c r="L102" i="45"/>
  <c r="N102" i="45" s="1"/>
  <c r="L101" i="45"/>
  <c r="N101" i="45" s="1"/>
  <c r="L100" i="45"/>
  <c r="N100" i="45" s="1"/>
  <c r="M99" i="45"/>
  <c r="L99" i="45"/>
  <c r="N99" i="45" s="1"/>
  <c r="L98" i="45"/>
  <c r="M97" i="45"/>
  <c r="L97" i="45"/>
  <c r="N97" i="45" s="1"/>
  <c r="L96" i="45"/>
  <c r="N96" i="45" s="1"/>
  <c r="N95" i="45"/>
  <c r="L95" i="45"/>
  <c r="L94" i="45"/>
  <c r="N94" i="45" s="1"/>
  <c r="N93" i="45"/>
  <c r="L93" i="45"/>
  <c r="L92" i="45"/>
  <c r="N92" i="45" s="1"/>
  <c r="M91" i="45"/>
  <c r="L91" i="45"/>
  <c r="N91" i="45" s="1"/>
  <c r="L90" i="45"/>
  <c r="L89" i="45"/>
  <c r="N89" i="45" s="1"/>
  <c r="L88" i="45"/>
  <c r="N88" i="45" s="1"/>
  <c r="M87" i="45"/>
  <c r="L87" i="45"/>
  <c r="N87" i="45" s="1"/>
  <c r="N86" i="45"/>
  <c r="L86" i="45"/>
  <c r="L85" i="45"/>
  <c r="N85" i="45" s="1"/>
  <c r="N84" i="45"/>
  <c r="L84" i="45"/>
  <c r="L83" i="45"/>
  <c r="N83" i="45" s="1"/>
  <c r="L79" i="45"/>
  <c r="L78" i="45"/>
  <c r="N78" i="45" s="1"/>
  <c r="N77" i="45"/>
  <c r="L77" i="45"/>
  <c r="L76" i="45"/>
  <c r="N76" i="45" s="1"/>
  <c r="L75" i="45"/>
  <c r="N74" i="45"/>
  <c r="L74" i="45"/>
  <c r="L73" i="45"/>
  <c r="N73" i="45" s="1"/>
  <c r="N72" i="45"/>
  <c r="L72" i="45"/>
  <c r="M71" i="45"/>
  <c r="N71" i="45" s="1"/>
  <c r="L71" i="45"/>
  <c r="L70" i="45"/>
  <c r="N70" i="45" s="1"/>
  <c r="N69" i="45"/>
  <c r="M69" i="45"/>
  <c r="L69" i="45"/>
  <c r="N68" i="45"/>
  <c r="L68" i="45"/>
  <c r="L67" i="45"/>
  <c r="L66" i="45"/>
  <c r="N66" i="45" s="1"/>
  <c r="N65" i="45"/>
  <c r="L65" i="45"/>
  <c r="L64" i="45"/>
  <c r="N64" i="45" s="1"/>
  <c r="L63" i="45"/>
  <c r="N63" i="45" s="1"/>
  <c r="L62" i="45"/>
  <c r="N62" i="45" s="1"/>
  <c r="L61" i="45"/>
  <c r="N61" i="45" s="1"/>
  <c r="L60" i="45"/>
  <c r="N60" i="45" s="1"/>
  <c r="M59" i="45"/>
  <c r="L59" i="45"/>
  <c r="N59" i="45" s="1"/>
  <c r="N58" i="45"/>
  <c r="L58" i="45"/>
  <c r="L57" i="45"/>
  <c r="N57" i="45" s="1"/>
  <c r="N56" i="45"/>
  <c r="L56" i="45"/>
  <c r="L55" i="45"/>
  <c r="N54" i="45"/>
  <c r="L54" i="45"/>
  <c r="M53" i="45"/>
  <c r="N53" i="45" s="1"/>
  <c r="L53" i="45"/>
  <c r="M52" i="45"/>
  <c r="N52" i="45" s="1"/>
  <c r="L52" i="45"/>
  <c r="L51" i="45"/>
  <c r="M50" i="45"/>
  <c r="N50" i="45" s="1"/>
  <c r="L50" i="45"/>
  <c r="L49" i="45"/>
  <c r="L48" i="45"/>
  <c r="N48" i="45" s="1"/>
  <c r="N47" i="45"/>
  <c r="L47" i="45"/>
  <c r="L46" i="45"/>
  <c r="L45" i="45"/>
  <c r="L41" i="45"/>
  <c r="N41" i="45" s="1"/>
  <c r="M40" i="45"/>
  <c r="L40" i="45"/>
  <c r="N40" i="45" s="1"/>
  <c r="N39" i="45"/>
  <c r="L39" i="45"/>
  <c r="N38" i="45"/>
  <c r="L38" i="45"/>
  <c r="N37" i="45"/>
  <c r="L37" i="45"/>
  <c r="M36" i="45"/>
  <c r="N36" i="45" s="1"/>
  <c r="L36" i="45"/>
  <c r="L35" i="45"/>
  <c r="N35" i="45" s="1"/>
  <c r="L34" i="45"/>
  <c r="L33" i="45"/>
  <c r="L32" i="45"/>
  <c r="L31" i="45"/>
  <c r="K26" i="45"/>
  <c r="J26" i="45"/>
  <c r="I26" i="45"/>
  <c r="H26" i="45"/>
  <c r="G26" i="45"/>
  <c r="F26" i="45"/>
  <c r="E26" i="45"/>
  <c r="D26" i="45"/>
  <c r="C26" i="45"/>
  <c r="L25" i="45"/>
  <c r="N25" i="45" s="1"/>
  <c r="N24" i="45"/>
  <c r="L24" i="45"/>
  <c r="M22" i="45"/>
  <c r="N22" i="45" s="1"/>
  <c r="L22" i="45"/>
  <c r="L21" i="45"/>
  <c r="N21" i="45" s="1"/>
  <c r="N20" i="45"/>
  <c r="L20" i="45"/>
  <c r="N19" i="45"/>
  <c r="L19" i="45"/>
  <c r="L18" i="45"/>
  <c r="N18" i="45" s="1"/>
  <c r="L15" i="45"/>
  <c r="L13" i="45"/>
  <c r="N13" i="45" s="1"/>
  <c r="L12" i="45"/>
  <c r="L11" i="45"/>
  <c r="L10" i="45"/>
  <c r="N10" i="45" s="1"/>
  <c r="C168" i="46" l="1"/>
  <c r="N111" i="45"/>
  <c r="G139" i="45"/>
  <c r="L138" i="45"/>
  <c r="N128" i="45"/>
  <c r="N114" i="45"/>
  <c r="N113" i="45"/>
  <c r="N98" i="45"/>
  <c r="N90" i="45"/>
  <c r="N79" i="45"/>
  <c r="N55" i="45"/>
  <c r="M138" i="45"/>
  <c r="O118" i="45" s="1"/>
  <c r="N46" i="45"/>
  <c r="N45" i="45"/>
  <c r="N34" i="45"/>
  <c r="N33" i="45"/>
  <c r="N32" i="45"/>
  <c r="N15" i="45"/>
  <c r="N12" i="45"/>
  <c r="O18" i="45"/>
  <c r="M26" i="45"/>
  <c r="N31" i="45"/>
  <c r="L26" i="45"/>
  <c r="M136" i="44"/>
  <c r="N136" i="44" s="1"/>
  <c r="M119" i="44"/>
  <c r="M117" i="44"/>
  <c r="M114" i="44"/>
  <c r="M113" i="44"/>
  <c r="M111" i="44"/>
  <c r="M110" i="44"/>
  <c r="M108" i="44"/>
  <c r="M104" i="44"/>
  <c r="M99" i="44"/>
  <c r="M98" i="44"/>
  <c r="M97" i="44"/>
  <c r="M96" i="44"/>
  <c r="M91" i="44"/>
  <c r="M90" i="44"/>
  <c r="N90" i="44" s="1"/>
  <c r="M89" i="44"/>
  <c r="M88" i="44"/>
  <c r="M87" i="44"/>
  <c r="M83" i="44"/>
  <c r="M79" i="44"/>
  <c r="M75" i="44"/>
  <c r="N75" i="44" s="1"/>
  <c r="M71" i="44"/>
  <c r="M69" i="44"/>
  <c r="N69" i="44" s="1"/>
  <c r="M68" i="44"/>
  <c r="M55" i="44"/>
  <c r="M53" i="44"/>
  <c r="M52" i="44"/>
  <c r="M51" i="44"/>
  <c r="M50" i="44"/>
  <c r="M49" i="44"/>
  <c r="N49" i="44" s="1"/>
  <c r="M46" i="44"/>
  <c r="M45" i="44"/>
  <c r="M40" i="44"/>
  <c r="M38" i="44"/>
  <c r="M37" i="44"/>
  <c r="M36" i="44"/>
  <c r="M34" i="44"/>
  <c r="M33" i="44"/>
  <c r="M32" i="44"/>
  <c r="M31" i="44"/>
  <c r="M20" i="44"/>
  <c r="M18" i="44"/>
  <c r="M15" i="44"/>
  <c r="M12" i="44"/>
  <c r="N12" i="44" s="1"/>
  <c r="M10" i="44"/>
  <c r="C163" i="44"/>
  <c r="C152" i="44"/>
  <c r="C151" i="44"/>
  <c r="K138" i="44"/>
  <c r="J138" i="44"/>
  <c r="I138" i="44"/>
  <c r="H138" i="44"/>
  <c r="G138" i="44"/>
  <c r="F138" i="44"/>
  <c r="E138" i="44"/>
  <c r="D138" i="44"/>
  <c r="C138" i="44"/>
  <c r="L137" i="44"/>
  <c r="N137" i="44" s="1"/>
  <c r="L136" i="44"/>
  <c r="N135" i="44"/>
  <c r="L135" i="44"/>
  <c r="L134" i="44"/>
  <c r="N134" i="44" s="1"/>
  <c r="L130" i="44"/>
  <c r="N130" i="44" s="1"/>
  <c r="L129" i="44"/>
  <c r="N129" i="44" s="1"/>
  <c r="C128" i="44"/>
  <c r="L128" i="44" s="1"/>
  <c r="N128" i="44" s="1"/>
  <c r="N127" i="44"/>
  <c r="L127" i="44"/>
  <c r="L126" i="44"/>
  <c r="N126" i="44" s="1"/>
  <c r="L125" i="44"/>
  <c r="N125" i="44" s="1"/>
  <c r="L124" i="44"/>
  <c r="N124" i="44" s="1"/>
  <c r="N119" i="44"/>
  <c r="L119" i="44"/>
  <c r="N118" i="44"/>
  <c r="M118" i="44"/>
  <c r="L118" i="44"/>
  <c r="N117" i="44"/>
  <c r="L117" i="44"/>
  <c r="N116" i="44"/>
  <c r="L116" i="44"/>
  <c r="L115" i="44"/>
  <c r="N115" i="44" s="1"/>
  <c r="L114" i="44"/>
  <c r="L113" i="44"/>
  <c r="L112" i="44"/>
  <c r="N112" i="44" s="1"/>
  <c r="L111" i="44"/>
  <c r="N111" i="44" s="1"/>
  <c r="N110" i="44"/>
  <c r="L110" i="44"/>
  <c r="N109" i="44"/>
  <c r="C109" i="44"/>
  <c r="L109" i="44" s="1"/>
  <c r="N108" i="44"/>
  <c r="L108" i="44"/>
  <c r="L107" i="44"/>
  <c r="N107" i="44" s="1"/>
  <c r="L106" i="44"/>
  <c r="N106" i="44" s="1"/>
  <c r="L105" i="44"/>
  <c r="N105" i="44" s="1"/>
  <c r="N104" i="44"/>
  <c r="L104" i="44"/>
  <c r="L103" i="44"/>
  <c r="N103" i="44" s="1"/>
  <c r="L102" i="44"/>
  <c r="N102" i="44" s="1"/>
  <c r="L101" i="44"/>
  <c r="N101" i="44" s="1"/>
  <c r="N100" i="44"/>
  <c r="L100" i="44"/>
  <c r="L99" i="44"/>
  <c r="L98" i="44"/>
  <c r="L97" i="44"/>
  <c r="N97" i="44" s="1"/>
  <c r="L96" i="44"/>
  <c r="N96" i="44" s="1"/>
  <c r="L95" i="44"/>
  <c r="N95" i="44" s="1"/>
  <c r="N94" i="44"/>
  <c r="L94" i="44"/>
  <c r="L93" i="44"/>
  <c r="N93" i="44" s="1"/>
  <c r="L92" i="44"/>
  <c r="N92" i="44" s="1"/>
  <c r="L91" i="44"/>
  <c r="L90" i="44"/>
  <c r="N89" i="44"/>
  <c r="L89" i="44"/>
  <c r="L88" i="44"/>
  <c r="L87" i="44"/>
  <c r="L86" i="44"/>
  <c r="N86" i="44" s="1"/>
  <c r="L85" i="44"/>
  <c r="N85" i="44" s="1"/>
  <c r="N84" i="44"/>
  <c r="L84" i="44"/>
  <c r="L83" i="44"/>
  <c r="L79" i="44"/>
  <c r="L78" i="44"/>
  <c r="N78" i="44" s="1"/>
  <c r="L77" i="44"/>
  <c r="N77" i="44" s="1"/>
  <c r="L76" i="44"/>
  <c r="N76" i="44" s="1"/>
  <c r="L75" i="44"/>
  <c r="N74" i="44"/>
  <c r="L74" i="44"/>
  <c r="L73" i="44"/>
  <c r="N73" i="44" s="1"/>
  <c r="L72" i="44"/>
  <c r="N72" i="44" s="1"/>
  <c r="L71" i="44"/>
  <c r="N71" i="44" s="1"/>
  <c r="L70" i="44"/>
  <c r="N70" i="44" s="1"/>
  <c r="L69" i="44"/>
  <c r="N68" i="44"/>
  <c r="L68" i="44"/>
  <c r="N67" i="44"/>
  <c r="L67" i="44"/>
  <c r="L66" i="44"/>
  <c r="N66" i="44" s="1"/>
  <c r="L65" i="44"/>
  <c r="N65" i="44" s="1"/>
  <c r="L64" i="44"/>
  <c r="N64" i="44" s="1"/>
  <c r="L63" i="44"/>
  <c r="N63" i="44" s="1"/>
  <c r="L62" i="44"/>
  <c r="N62" i="44" s="1"/>
  <c r="N61" i="44"/>
  <c r="L61" i="44"/>
  <c r="L60" i="44"/>
  <c r="N60" i="44" s="1"/>
  <c r="M59" i="44"/>
  <c r="L59" i="44"/>
  <c r="N59" i="44" s="1"/>
  <c r="L58" i="44"/>
  <c r="N58" i="44" s="1"/>
  <c r="L57" i="44"/>
  <c r="N57" i="44" s="1"/>
  <c r="N56" i="44"/>
  <c r="L56" i="44"/>
  <c r="L55" i="44"/>
  <c r="L54" i="44"/>
  <c r="N54" i="44" s="1"/>
  <c r="L53" i="44"/>
  <c r="N53" i="44" s="1"/>
  <c r="N52" i="44"/>
  <c r="L52" i="44"/>
  <c r="N51" i="44"/>
  <c r="L51" i="44"/>
  <c r="N50" i="44"/>
  <c r="L50" i="44"/>
  <c r="L49" i="44"/>
  <c r="N48" i="44"/>
  <c r="L48" i="44"/>
  <c r="L47" i="44"/>
  <c r="N47" i="44" s="1"/>
  <c r="L46" i="44"/>
  <c r="N46" i="44" s="1"/>
  <c r="L45" i="44"/>
  <c r="N45" i="44" s="1"/>
  <c r="L41" i="44"/>
  <c r="N41" i="44" s="1"/>
  <c r="L40" i="44"/>
  <c r="N39" i="44"/>
  <c r="L39" i="44"/>
  <c r="L38" i="44"/>
  <c r="L37" i="44"/>
  <c r="L36" i="44"/>
  <c r="L35" i="44"/>
  <c r="N35" i="44" s="1"/>
  <c r="L34" i="44"/>
  <c r="L33" i="44"/>
  <c r="L32" i="44"/>
  <c r="L31" i="44"/>
  <c r="N31" i="44" s="1"/>
  <c r="K26" i="44"/>
  <c r="J26" i="44"/>
  <c r="I26" i="44"/>
  <c r="H26" i="44"/>
  <c r="G26" i="44"/>
  <c r="F26" i="44"/>
  <c r="E26" i="44"/>
  <c r="D26" i="44"/>
  <c r="C26" i="44"/>
  <c r="L25" i="44"/>
  <c r="N25" i="44" s="1"/>
  <c r="N24" i="44"/>
  <c r="L24" i="44"/>
  <c r="M22" i="44"/>
  <c r="L22" i="44"/>
  <c r="N21" i="44"/>
  <c r="L21" i="44"/>
  <c r="L20" i="44"/>
  <c r="N20" i="44" s="1"/>
  <c r="L19" i="44"/>
  <c r="N19" i="44" s="1"/>
  <c r="L18" i="44"/>
  <c r="L15" i="44"/>
  <c r="N15" i="44" s="1"/>
  <c r="L13" i="44"/>
  <c r="N13" i="44" s="1"/>
  <c r="L12" i="44"/>
  <c r="L11" i="44"/>
  <c r="M26" i="44"/>
  <c r="L10" i="44"/>
  <c r="M10" i="43"/>
  <c r="M12" i="43"/>
  <c r="M15" i="43"/>
  <c r="M18" i="43"/>
  <c r="M20" i="43"/>
  <c r="O91" i="45" l="1"/>
  <c r="O57" i="45"/>
  <c r="O52" i="45"/>
  <c r="O100" i="45"/>
  <c r="O108" i="45"/>
  <c r="O37" i="45"/>
  <c r="O84" i="45"/>
  <c r="O86" i="45"/>
  <c r="O31" i="45"/>
  <c r="O136" i="45"/>
  <c r="O127" i="45"/>
  <c r="O53" i="45"/>
  <c r="O47" i="45"/>
  <c r="O60" i="45"/>
  <c r="O54" i="45"/>
  <c r="O99" i="45"/>
  <c r="O125" i="45"/>
  <c r="O46" i="45"/>
  <c r="O119" i="45"/>
  <c r="O70" i="45"/>
  <c r="O110" i="45"/>
  <c r="O56" i="45"/>
  <c r="O93" i="45"/>
  <c r="O135" i="45"/>
  <c r="O71" i="45"/>
  <c r="O66" i="45"/>
  <c r="O115" i="45"/>
  <c r="O38" i="45"/>
  <c r="O64" i="45"/>
  <c r="O59" i="45"/>
  <c r="O87" i="45"/>
  <c r="O95" i="45"/>
  <c r="O104" i="45"/>
  <c r="O130" i="45"/>
  <c r="O68" i="45"/>
  <c r="O32" i="45"/>
  <c r="O79" i="45"/>
  <c r="O94" i="45"/>
  <c r="O124" i="45"/>
  <c r="O61" i="45"/>
  <c r="O106" i="45"/>
  <c r="C154" i="45"/>
  <c r="O76" i="45"/>
  <c r="O78" i="45"/>
  <c r="O126" i="45"/>
  <c r="O48" i="45"/>
  <c r="O39" i="45"/>
  <c r="O65" i="45"/>
  <c r="O88" i="45"/>
  <c r="O97" i="45"/>
  <c r="O112" i="45"/>
  <c r="O117" i="45"/>
  <c r="O75" i="45"/>
  <c r="O33" i="45"/>
  <c r="O107" i="45"/>
  <c r="O129" i="45"/>
  <c r="O74" i="45"/>
  <c r="O116" i="45"/>
  <c r="O35" i="45"/>
  <c r="O41" i="45"/>
  <c r="O92" i="45"/>
  <c r="O134" i="45"/>
  <c r="O51" i="45"/>
  <c r="O40" i="45"/>
  <c r="O72" i="45"/>
  <c r="O90" i="45"/>
  <c r="O98" i="45"/>
  <c r="O113" i="45"/>
  <c r="O69" i="45"/>
  <c r="O45" i="45"/>
  <c r="O85" i="45"/>
  <c r="O109" i="45"/>
  <c r="O137" i="45"/>
  <c r="O67" i="45"/>
  <c r="O101" i="45"/>
  <c r="O128" i="45"/>
  <c r="O50" i="45"/>
  <c r="O111" i="45"/>
  <c r="O73" i="45"/>
  <c r="O105" i="45"/>
  <c r="O36" i="45"/>
  <c r="O49" i="45"/>
  <c r="O102" i="45"/>
  <c r="O58" i="45"/>
  <c r="O77" i="45"/>
  <c r="O89" i="45"/>
  <c r="O96" i="45"/>
  <c r="O103" i="45"/>
  <c r="O114" i="45"/>
  <c r="O83" i="45"/>
  <c r="N138" i="45"/>
  <c r="N26" i="45"/>
  <c r="O24" i="45"/>
  <c r="O12" i="45"/>
  <c r="O25" i="45"/>
  <c r="O13" i="45"/>
  <c r="O22" i="45"/>
  <c r="O19" i="45"/>
  <c r="C153" i="45"/>
  <c r="O21" i="45"/>
  <c r="O20" i="45"/>
  <c r="O15" i="45"/>
  <c r="O10" i="45"/>
  <c r="C165" i="44"/>
  <c r="N114" i="44"/>
  <c r="N113" i="44"/>
  <c r="N99" i="44"/>
  <c r="N98" i="44"/>
  <c r="N91" i="44"/>
  <c r="N87" i="44"/>
  <c r="N55" i="44"/>
  <c r="N40" i="44"/>
  <c r="N34" i="44"/>
  <c r="N33" i="44"/>
  <c r="N32" i="44"/>
  <c r="N18" i="44"/>
  <c r="O19" i="44"/>
  <c r="O24" i="44"/>
  <c r="O21" i="44"/>
  <c r="O13" i="44"/>
  <c r="N79" i="44"/>
  <c r="O10" i="44"/>
  <c r="O20" i="44"/>
  <c r="O22" i="44"/>
  <c r="N22" i="44"/>
  <c r="O25" i="44"/>
  <c r="M138" i="44"/>
  <c r="O38" i="44" s="1"/>
  <c r="N36" i="44"/>
  <c r="N38" i="44"/>
  <c r="G139" i="44"/>
  <c r="C153" i="44"/>
  <c r="O12" i="44"/>
  <c r="O18" i="44"/>
  <c r="N83" i="44"/>
  <c r="N88" i="44"/>
  <c r="N10" i="44"/>
  <c r="L26" i="44"/>
  <c r="O15" i="44"/>
  <c r="N37" i="44"/>
  <c r="L138" i="44"/>
  <c r="C152" i="43"/>
  <c r="C160" i="43"/>
  <c r="C155" i="45" l="1"/>
  <c r="C170" i="45" s="1"/>
  <c r="O83" i="44"/>
  <c r="N138" i="44"/>
  <c r="O45" i="44"/>
  <c r="O130" i="44"/>
  <c r="O125" i="44"/>
  <c r="O112" i="44"/>
  <c r="O106" i="44"/>
  <c r="O102" i="44"/>
  <c r="O98" i="44"/>
  <c r="O92" i="44"/>
  <c r="O86" i="44"/>
  <c r="O77" i="44"/>
  <c r="O72" i="44"/>
  <c r="O65" i="44"/>
  <c r="O58" i="44"/>
  <c r="O54" i="44"/>
  <c r="O41" i="44"/>
  <c r="O136" i="44"/>
  <c r="O135" i="44"/>
  <c r="O127" i="44"/>
  <c r="O116" i="44"/>
  <c r="O104" i="44"/>
  <c r="O100" i="44"/>
  <c r="O90" i="44"/>
  <c r="O89" i="44"/>
  <c r="O75" i="44"/>
  <c r="O74" i="44"/>
  <c r="O68" i="44"/>
  <c r="O61" i="44"/>
  <c r="O56" i="44"/>
  <c r="O50" i="44"/>
  <c r="O48" i="44"/>
  <c r="O39" i="44"/>
  <c r="O134" i="44"/>
  <c r="O126" i="44"/>
  <c r="O115" i="44"/>
  <c r="O107" i="44"/>
  <c r="O103" i="44"/>
  <c r="O99" i="44"/>
  <c r="O93" i="44"/>
  <c r="O87" i="44"/>
  <c r="O78" i="44"/>
  <c r="O73" i="44"/>
  <c r="O66" i="44"/>
  <c r="O60" i="44"/>
  <c r="O47" i="44"/>
  <c r="O35" i="44"/>
  <c r="C154" i="44"/>
  <c r="C155" i="44" s="1"/>
  <c r="O128" i="44"/>
  <c r="O119" i="44"/>
  <c r="O118" i="44"/>
  <c r="O117" i="44"/>
  <c r="O110" i="44"/>
  <c r="O109" i="44"/>
  <c r="O108" i="44"/>
  <c r="O94" i="44"/>
  <c r="O84" i="44"/>
  <c r="O69" i="44"/>
  <c r="O67" i="44"/>
  <c r="O52" i="44"/>
  <c r="O51" i="44"/>
  <c r="O49" i="44"/>
  <c r="O129" i="44"/>
  <c r="O124" i="44"/>
  <c r="O101" i="44"/>
  <c r="O95" i="44"/>
  <c r="O71" i="44"/>
  <c r="O53" i="44"/>
  <c r="O96" i="44"/>
  <c r="O85" i="44"/>
  <c r="O57" i="44"/>
  <c r="O31" i="44"/>
  <c r="O105" i="44"/>
  <c r="O97" i="44"/>
  <c r="O91" i="44"/>
  <c r="O40" i="44"/>
  <c r="O32" i="44"/>
  <c r="O137" i="44"/>
  <c r="O111" i="44"/>
  <c r="O76" i="44"/>
  <c r="O70" i="44"/>
  <c r="O64" i="44"/>
  <c r="O33" i="44"/>
  <c r="O88" i="44"/>
  <c r="O46" i="44"/>
  <c r="O113" i="44"/>
  <c r="O114" i="44"/>
  <c r="O36" i="44"/>
  <c r="O37" i="44"/>
  <c r="N26" i="44"/>
  <c r="O59" i="44"/>
  <c r="O79" i="44"/>
  <c r="M136" i="43"/>
  <c r="N136" i="43" s="1"/>
  <c r="M119" i="43"/>
  <c r="N119" i="43" s="1"/>
  <c r="M118" i="43"/>
  <c r="M117" i="43"/>
  <c r="M114" i="43"/>
  <c r="M113" i="43"/>
  <c r="M110" i="43"/>
  <c r="M97" i="43"/>
  <c r="M96" i="43"/>
  <c r="M90" i="43"/>
  <c r="M88" i="43"/>
  <c r="M83" i="43"/>
  <c r="M79" i="43"/>
  <c r="N79" i="43" s="1"/>
  <c r="M75" i="43"/>
  <c r="N75" i="43" s="1"/>
  <c r="M71" i="43"/>
  <c r="M69" i="43"/>
  <c r="M68" i="43"/>
  <c r="N68" i="43" s="1"/>
  <c r="M59" i="43"/>
  <c r="M55" i="43"/>
  <c r="M52" i="43"/>
  <c r="M51" i="43"/>
  <c r="M50" i="43"/>
  <c r="N50" i="43" s="1"/>
  <c r="M49" i="43"/>
  <c r="M46" i="43"/>
  <c r="M45" i="43"/>
  <c r="M38" i="43"/>
  <c r="M37" i="43"/>
  <c r="M36" i="43"/>
  <c r="M34" i="43"/>
  <c r="M33" i="43"/>
  <c r="M32" i="43"/>
  <c r="M31" i="43"/>
  <c r="M22" i="43"/>
  <c r="C163" i="43"/>
  <c r="C165" i="43"/>
  <c r="C151" i="43"/>
  <c r="K138" i="43"/>
  <c r="J138" i="43"/>
  <c r="I138" i="43"/>
  <c r="H138" i="43"/>
  <c r="G138" i="43"/>
  <c r="G139" i="43" s="1"/>
  <c r="F138" i="43"/>
  <c r="E138" i="43"/>
  <c r="D138" i="43"/>
  <c r="L137" i="43"/>
  <c r="N137" i="43" s="1"/>
  <c r="L136" i="43"/>
  <c r="N135" i="43"/>
  <c r="L135" i="43"/>
  <c r="L134" i="43"/>
  <c r="N134" i="43" s="1"/>
  <c r="L130" i="43"/>
  <c r="N130" i="43" s="1"/>
  <c r="N129" i="43"/>
  <c r="L129" i="43"/>
  <c r="N128" i="43"/>
  <c r="L128" i="43"/>
  <c r="C128" i="43"/>
  <c r="N127" i="43"/>
  <c r="L127" i="43"/>
  <c r="L126" i="43"/>
  <c r="N126" i="43" s="1"/>
  <c r="L125" i="43"/>
  <c r="N125" i="43" s="1"/>
  <c r="N124" i="43"/>
  <c r="L124" i="43"/>
  <c r="L119" i="43"/>
  <c r="L118" i="43"/>
  <c r="L117" i="43"/>
  <c r="N116" i="43"/>
  <c r="L116" i="43"/>
  <c r="N115" i="43"/>
  <c r="L115" i="43"/>
  <c r="L114" i="43"/>
  <c r="L113" i="43"/>
  <c r="N112" i="43"/>
  <c r="L112" i="43"/>
  <c r="N111" i="43"/>
  <c r="L111" i="43"/>
  <c r="L110" i="43"/>
  <c r="C109" i="43"/>
  <c r="L109" i="43" s="1"/>
  <c r="N109" i="43" s="1"/>
  <c r="L108" i="43"/>
  <c r="N108" i="43" s="1"/>
  <c r="N107" i="43"/>
  <c r="L107" i="43"/>
  <c r="N106" i="43"/>
  <c r="L106" i="43"/>
  <c r="L105" i="43"/>
  <c r="N105" i="43" s="1"/>
  <c r="L104" i="43"/>
  <c r="N104" i="43" s="1"/>
  <c r="N103" i="43"/>
  <c r="L103" i="43"/>
  <c r="N102" i="43"/>
  <c r="L102" i="43"/>
  <c r="L101" i="43"/>
  <c r="N101" i="43" s="1"/>
  <c r="L100" i="43"/>
  <c r="N100" i="43" s="1"/>
  <c r="N99" i="43"/>
  <c r="L99" i="43"/>
  <c r="N98" i="43"/>
  <c r="L98" i="43"/>
  <c r="L97" i="43"/>
  <c r="N97" i="43" s="1"/>
  <c r="L96" i="43"/>
  <c r="N96" i="43" s="1"/>
  <c r="N95" i="43"/>
  <c r="L95" i="43"/>
  <c r="N94" i="43"/>
  <c r="L94" i="43"/>
  <c r="L93" i="43"/>
  <c r="N93" i="43" s="1"/>
  <c r="L92" i="43"/>
  <c r="N92" i="43" s="1"/>
  <c r="N91" i="43"/>
  <c r="L91" i="43"/>
  <c r="N90" i="43"/>
  <c r="L90" i="43"/>
  <c r="L89" i="43"/>
  <c r="N89" i="43" s="1"/>
  <c r="L88" i="43"/>
  <c r="N87" i="43"/>
  <c r="L87" i="43"/>
  <c r="N86" i="43"/>
  <c r="L86" i="43"/>
  <c r="L85" i="43"/>
  <c r="N85" i="43" s="1"/>
  <c r="L84" i="43"/>
  <c r="N84" i="43" s="1"/>
  <c r="N83" i="43"/>
  <c r="L83" i="43"/>
  <c r="L79" i="43"/>
  <c r="L78" i="43"/>
  <c r="N78" i="43" s="1"/>
  <c r="L77" i="43"/>
  <c r="N77" i="43" s="1"/>
  <c r="N76" i="43"/>
  <c r="L76" i="43"/>
  <c r="L75" i="43"/>
  <c r="L74" i="43"/>
  <c r="N74" i="43" s="1"/>
  <c r="L73" i="43"/>
  <c r="N73" i="43" s="1"/>
  <c r="N72" i="43"/>
  <c r="L72" i="43"/>
  <c r="N71" i="43"/>
  <c r="L71" i="43"/>
  <c r="L70" i="43"/>
  <c r="N70" i="43" s="1"/>
  <c r="L69" i="43"/>
  <c r="N69" i="43" s="1"/>
  <c r="L68" i="43"/>
  <c r="N67" i="43"/>
  <c r="L67" i="43"/>
  <c r="L66" i="43"/>
  <c r="N66" i="43" s="1"/>
  <c r="L65" i="43"/>
  <c r="N65" i="43" s="1"/>
  <c r="N64" i="43"/>
  <c r="L64" i="43"/>
  <c r="L63" i="43"/>
  <c r="N63" i="43" s="1"/>
  <c r="N62" i="43"/>
  <c r="L62" i="43"/>
  <c r="N61" i="43"/>
  <c r="L61" i="43"/>
  <c r="L60" i="43"/>
  <c r="N60" i="43" s="1"/>
  <c r="L59" i="43"/>
  <c r="N58" i="43"/>
  <c r="L58" i="43"/>
  <c r="N57" i="43"/>
  <c r="L57" i="43"/>
  <c r="L56" i="43"/>
  <c r="N56" i="43" s="1"/>
  <c r="N55" i="43"/>
  <c r="L55" i="43"/>
  <c r="N54" i="43"/>
  <c r="L54" i="43"/>
  <c r="L53" i="43"/>
  <c r="N53" i="43" s="1"/>
  <c r="L52" i="43"/>
  <c r="N52" i="43" s="1"/>
  <c r="N51" i="43"/>
  <c r="L51" i="43"/>
  <c r="L50" i="43"/>
  <c r="L49" i="43"/>
  <c r="N49" i="43" s="1"/>
  <c r="L48" i="43"/>
  <c r="N48" i="43" s="1"/>
  <c r="N47" i="43"/>
  <c r="L47" i="43"/>
  <c r="N46" i="43"/>
  <c r="L46" i="43"/>
  <c r="L45" i="43"/>
  <c r="L41" i="43"/>
  <c r="N41" i="43" s="1"/>
  <c r="N40" i="43"/>
  <c r="L40" i="43"/>
  <c r="N39" i="43"/>
  <c r="L39" i="43"/>
  <c r="L38" i="43"/>
  <c r="L37" i="43"/>
  <c r="N36" i="43"/>
  <c r="L36" i="43"/>
  <c r="N35" i="43"/>
  <c r="L35" i="43"/>
  <c r="L34" i="43"/>
  <c r="N34" i="43" s="1"/>
  <c r="N33" i="43"/>
  <c r="L33" i="43"/>
  <c r="N32" i="43"/>
  <c r="L32" i="43"/>
  <c r="L31" i="43"/>
  <c r="N31" i="43" s="1"/>
  <c r="K26" i="43"/>
  <c r="J26" i="43"/>
  <c r="I26" i="43"/>
  <c r="H26" i="43"/>
  <c r="G26" i="43"/>
  <c r="F26" i="43"/>
  <c r="E26" i="43"/>
  <c r="D26" i="43"/>
  <c r="C26" i="43"/>
  <c r="L25" i="43"/>
  <c r="N25" i="43" s="1"/>
  <c r="N24" i="43"/>
  <c r="L24" i="43"/>
  <c r="N22" i="43"/>
  <c r="L22" i="43"/>
  <c r="L21" i="43"/>
  <c r="N21" i="43" s="1"/>
  <c r="L20" i="43"/>
  <c r="L19" i="43"/>
  <c r="N19" i="43" s="1"/>
  <c r="L18" i="43"/>
  <c r="L15" i="43"/>
  <c r="N15" i="43" s="1"/>
  <c r="N13" i="43"/>
  <c r="L13" i="43"/>
  <c r="N12" i="43"/>
  <c r="L12" i="43"/>
  <c r="L11" i="43"/>
  <c r="L10" i="43"/>
  <c r="N10" i="43" s="1"/>
  <c r="C168" i="45" l="1"/>
  <c r="C170" i="44"/>
  <c r="C168" i="44"/>
  <c r="N118" i="43"/>
  <c r="N117" i="43"/>
  <c r="N114" i="43"/>
  <c r="N113" i="43"/>
  <c r="N110" i="43"/>
  <c r="N88" i="43"/>
  <c r="N59" i="43"/>
  <c r="N45" i="43"/>
  <c r="N38" i="43"/>
  <c r="M138" i="43"/>
  <c r="O137" i="43" s="1"/>
  <c r="N37" i="43"/>
  <c r="N20" i="43"/>
  <c r="N18" i="43"/>
  <c r="N26" i="43" s="1"/>
  <c r="M26" i="43"/>
  <c r="O18" i="43" s="1"/>
  <c r="C138" i="43"/>
  <c r="L26" i="43"/>
  <c r="L138" i="43"/>
  <c r="C159" i="42"/>
  <c r="M20" i="42"/>
  <c r="M18" i="42"/>
  <c r="M26" i="42" s="1"/>
  <c r="C152" i="42" s="1"/>
  <c r="M15" i="42"/>
  <c r="M12" i="42"/>
  <c r="M10" i="42"/>
  <c r="C164" i="42"/>
  <c r="C162" i="42"/>
  <c r="C151" i="42"/>
  <c r="M138" i="42"/>
  <c r="O137" i="42" s="1"/>
  <c r="K138" i="42"/>
  <c r="J138" i="42"/>
  <c r="I138" i="42"/>
  <c r="H138" i="42"/>
  <c r="G138" i="42"/>
  <c r="F138" i="42"/>
  <c r="E138" i="42"/>
  <c r="D138" i="42"/>
  <c r="L137" i="42"/>
  <c r="N137" i="42" s="1"/>
  <c r="N136" i="42"/>
  <c r="L136" i="42"/>
  <c r="N135" i="42"/>
  <c r="L135" i="42"/>
  <c r="L134" i="42"/>
  <c r="N134" i="42" s="1"/>
  <c r="L130" i="42"/>
  <c r="N130" i="42" s="1"/>
  <c r="N129" i="42"/>
  <c r="L129" i="42"/>
  <c r="L128" i="42"/>
  <c r="N128" i="42" s="1"/>
  <c r="C128" i="42"/>
  <c r="N127" i="42"/>
  <c r="L127" i="42"/>
  <c r="L126" i="42"/>
  <c r="N126" i="42" s="1"/>
  <c r="L125" i="42"/>
  <c r="N125" i="42" s="1"/>
  <c r="N124" i="42"/>
  <c r="L124" i="42"/>
  <c r="N119" i="42"/>
  <c r="L119" i="42"/>
  <c r="L118" i="42"/>
  <c r="N118" i="42" s="1"/>
  <c r="L117" i="42"/>
  <c r="N117" i="42" s="1"/>
  <c r="N116" i="42"/>
  <c r="L116" i="42"/>
  <c r="L115" i="42"/>
  <c r="N115" i="42" s="1"/>
  <c r="L114" i="42"/>
  <c r="N114" i="42" s="1"/>
  <c r="L113" i="42"/>
  <c r="N113" i="42" s="1"/>
  <c r="N112" i="42"/>
  <c r="L112" i="42"/>
  <c r="N111" i="42"/>
  <c r="L111" i="42"/>
  <c r="L110" i="42"/>
  <c r="N110" i="42" s="1"/>
  <c r="C109" i="42"/>
  <c r="L109" i="42" s="1"/>
  <c r="N109" i="42" s="1"/>
  <c r="L108" i="42"/>
  <c r="N108" i="42" s="1"/>
  <c r="N107" i="42"/>
  <c r="L107" i="42"/>
  <c r="N106" i="42"/>
  <c r="L106" i="42"/>
  <c r="L105" i="42"/>
  <c r="N105" i="42" s="1"/>
  <c r="L104" i="42"/>
  <c r="N104" i="42" s="1"/>
  <c r="N103" i="42"/>
  <c r="L103" i="42"/>
  <c r="N102" i="42"/>
  <c r="L102" i="42"/>
  <c r="L101" i="42"/>
  <c r="N101" i="42" s="1"/>
  <c r="L100" i="42"/>
  <c r="N100" i="42" s="1"/>
  <c r="N99" i="42"/>
  <c r="L99" i="42"/>
  <c r="N98" i="42"/>
  <c r="L98" i="42"/>
  <c r="L97" i="42"/>
  <c r="N97" i="42" s="1"/>
  <c r="L96" i="42"/>
  <c r="N96" i="42" s="1"/>
  <c r="N95" i="42"/>
  <c r="L95" i="42"/>
  <c r="N94" i="42"/>
  <c r="L94" i="42"/>
  <c r="L93" i="42"/>
  <c r="N93" i="42" s="1"/>
  <c r="L92" i="42"/>
  <c r="N92" i="42" s="1"/>
  <c r="N91" i="42"/>
  <c r="L91" i="42"/>
  <c r="N90" i="42"/>
  <c r="L90" i="42"/>
  <c r="L89" i="42"/>
  <c r="N89" i="42" s="1"/>
  <c r="L88" i="42"/>
  <c r="N88" i="42" s="1"/>
  <c r="L87" i="42"/>
  <c r="N87" i="42" s="1"/>
  <c r="N86" i="42"/>
  <c r="L86" i="42"/>
  <c r="L85" i="42"/>
  <c r="N85" i="42" s="1"/>
  <c r="L84" i="42"/>
  <c r="N84" i="42" s="1"/>
  <c r="N83" i="42"/>
  <c r="L83" i="42"/>
  <c r="N79" i="42"/>
  <c r="L79" i="42"/>
  <c r="L78" i="42"/>
  <c r="N78" i="42" s="1"/>
  <c r="L77" i="42"/>
  <c r="N77" i="42" s="1"/>
  <c r="L76" i="42"/>
  <c r="N76" i="42" s="1"/>
  <c r="N75" i="42"/>
  <c r="L75" i="42"/>
  <c r="L74" i="42"/>
  <c r="N74" i="42" s="1"/>
  <c r="L73" i="42"/>
  <c r="N73" i="42" s="1"/>
  <c r="N72" i="42"/>
  <c r="L72" i="42"/>
  <c r="L71" i="42"/>
  <c r="N71" i="42" s="1"/>
  <c r="L70" i="42"/>
  <c r="N70" i="42" s="1"/>
  <c r="L69" i="42"/>
  <c r="N69" i="42" s="1"/>
  <c r="N68" i="42"/>
  <c r="L68" i="42"/>
  <c r="N67" i="42"/>
  <c r="L67" i="42"/>
  <c r="L66" i="42"/>
  <c r="N66" i="42" s="1"/>
  <c r="L65" i="42"/>
  <c r="N65" i="42" s="1"/>
  <c r="L64" i="42"/>
  <c r="N64" i="42" s="1"/>
  <c r="L63" i="42"/>
  <c r="N63" i="42" s="1"/>
  <c r="N62" i="42"/>
  <c r="L62" i="42"/>
  <c r="N61" i="42"/>
  <c r="L61" i="42"/>
  <c r="L60" i="42"/>
  <c r="N60" i="42" s="1"/>
  <c r="L59" i="42"/>
  <c r="N59" i="42" s="1"/>
  <c r="N58" i="42"/>
  <c r="L58" i="42"/>
  <c r="N57" i="42"/>
  <c r="L57" i="42"/>
  <c r="L56" i="42"/>
  <c r="N56" i="42" s="1"/>
  <c r="N55" i="42"/>
  <c r="L55" i="42"/>
  <c r="N54" i="42"/>
  <c r="L54" i="42"/>
  <c r="L53" i="42"/>
  <c r="N53" i="42" s="1"/>
  <c r="L52" i="42"/>
  <c r="N52" i="42" s="1"/>
  <c r="L51" i="42"/>
  <c r="N51" i="42" s="1"/>
  <c r="L50" i="42"/>
  <c r="N50" i="42" s="1"/>
  <c r="L49" i="42"/>
  <c r="N49" i="42" s="1"/>
  <c r="L48" i="42"/>
  <c r="N48" i="42" s="1"/>
  <c r="N47" i="42"/>
  <c r="L47" i="42"/>
  <c r="N46" i="42"/>
  <c r="L46" i="42"/>
  <c r="L45" i="42"/>
  <c r="N45" i="42" s="1"/>
  <c r="L41" i="42"/>
  <c r="N41" i="42" s="1"/>
  <c r="N40" i="42"/>
  <c r="L40" i="42"/>
  <c r="N39" i="42"/>
  <c r="L39" i="42"/>
  <c r="L38" i="42"/>
  <c r="N38" i="42" s="1"/>
  <c r="L37" i="42"/>
  <c r="N37" i="42" s="1"/>
  <c r="N36" i="42"/>
  <c r="L36" i="42"/>
  <c r="N35" i="42"/>
  <c r="L35" i="42"/>
  <c r="L34" i="42"/>
  <c r="N34" i="42" s="1"/>
  <c r="N33" i="42"/>
  <c r="L33" i="42"/>
  <c r="N32" i="42"/>
  <c r="L32" i="42"/>
  <c r="L31" i="42"/>
  <c r="K26" i="42"/>
  <c r="J26" i="42"/>
  <c r="I26" i="42"/>
  <c r="H26" i="42"/>
  <c r="G26" i="42"/>
  <c r="F26" i="42"/>
  <c r="E26" i="42"/>
  <c r="D26" i="42"/>
  <c r="C26" i="42"/>
  <c r="L25" i="42"/>
  <c r="N25" i="42" s="1"/>
  <c r="L24" i="42"/>
  <c r="N24" i="42" s="1"/>
  <c r="N22" i="42"/>
  <c r="L22" i="42"/>
  <c r="N21" i="42"/>
  <c r="L21" i="42"/>
  <c r="L20" i="42"/>
  <c r="L19" i="42"/>
  <c r="N19" i="42" s="1"/>
  <c r="L18" i="42"/>
  <c r="N18" i="42" s="1"/>
  <c r="N15" i="42"/>
  <c r="L15" i="42"/>
  <c r="L13" i="42"/>
  <c r="N13" i="42" s="1"/>
  <c r="L12" i="42"/>
  <c r="N12" i="42" s="1"/>
  <c r="L11" i="42"/>
  <c r="L10" i="42"/>
  <c r="N10" i="42" s="1"/>
  <c r="C153" i="43" l="1"/>
  <c r="C155" i="43" s="1"/>
  <c r="C170" i="43" s="1"/>
  <c r="O25" i="43"/>
  <c r="N138" i="43"/>
  <c r="O85" i="43"/>
  <c r="O116" i="43"/>
  <c r="O45" i="43"/>
  <c r="O54" i="43"/>
  <c r="O84" i="43"/>
  <c r="O86" i="43"/>
  <c r="O109" i="43"/>
  <c r="O41" i="43"/>
  <c r="O105" i="43"/>
  <c r="O40" i="43"/>
  <c r="O33" i="43"/>
  <c r="O72" i="43"/>
  <c r="O73" i="43"/>
  <c r="O111" i="43"/>
  <c r="O107" i="43"/>
  <c r="O67" i="43"/>
  <c r="O134" i="43"/>
  <c r="O97" i="43"/>
  <c r="O70" i="43"/>
  <c r="O127" i="43"/>
  <c r="O90" i="43"/>
  <c r="O136" i="43"/>
  <c r="O96" i="43"/>
  <c r="O64" i="43"/>
  <c r="O60" i="43"/>
  <c r="O118" i="43"/>
  <c r="O95" i="43"/>
  <c r="O53" i="43"/>
  <c r="O94" i="43"/>
  <c r="O79" i="43"/>
  <c r="O117" i="43"/>
  <c r="O88" i="43"/>
  <c r="O57" i="43"/>
  <c r="O58" i="43"/>
  <c r="O108" i="43"/>
  <c r="O87" i="43"/>
  <c r="O61" i="43"/>
  <c r="O128" i="43"/>
  <c r="O119" i="43"/>
  <c r="O56" i="43"/>
  <c r="O124" i="43"/>
  <c r="O99" i="43"/>
  <c r="O74" i="43"/>
  <c r="O47" i="43"/>
  <c r="O39" i="43"/>
  <c r="O129" i="43"/>
  <c r="O113" i="43"/>
  <c r="O103" i="43"/>
  <c r="O92" i="43"/>
  <c r="O78" i="43"/>
  <c r="O68" i="43"/>
  <c r="O51" i="43"/>
  <c r="O37" i="43"/>
  <c r="O115" i="43"/>
  <c r="C154" i="43"/>
  <c r="O106" i="43"/>
  <c r="O71" i="43"/>
  <c r="O46" i="43"/>
  <c r="O130" i="43"/>
  <c r="O114" i="43"/>
  <c r="O104" i="43"/>
  <c r="O93" i="43"/>
  <c r="O83" i="43"/>
  <c r="O69" i="43"/>
  <c r="O52" i="43"/>
  <c r="O38" i="43"/>
  <c r="O31" i="43"/>
  <c r="O75" i="43"/>
  <c r="O125" i="43"/>
  <c r="O110" i="43"/>
  <c r="O100" i="43"/>
  <c r="O89" i="43"/>
  <c r="O76" i="43"/>
  <c r="O65" i="43"/>
  <c r="O48" i="43"/>
  <c r="O32" i="43"/>
  <c r="O102" i="43"/>
  <c r="O135" i="43"/>
  <c r="O98" i="43"/>
  <c r="O59" i="43"/>
  <c r="O35" i="43"/>
  <c r="O126" i="43"/>
  <c r="O112" i="43"/>
  <c r="O101" i="43"/>
  <c r="O91" i="43"/>
  <c r="O77" i="43"/>
  <c r="O66" i="43"/>
  <c r="O49" i="43"/>
  <c r="O36" i="43"/>
  <c r="O50" i="43"/>
  <c r="O22" i="43"/>
  <c r="O20" i="43"/>
  <c r="O10" i="43"/>
  <c r="O24" i="43"/>
  <c r="O19" i="43"/>
  <c r="O12" i="43"/>
  <c r="O13" i="43"/>
  <c r="O15" i="43"/>
  <c r="O21" i="43"/>
  <c r="O125" i="42"/>
  <c r="O127" i="42"/>
  <c r="O64" i="42"/>
  <c r="O103" i="42"/>
  <c r="O32" i="42"/>
  <c r="O46" i="42"/>
  <c r="O60" i="42"/>
  <c r="O117" i="42"/>
  <c r="O110" i="42"/>
  <c r="O33" i="42"/>
  <c r="O35" i="42"/>
  <c r="O37" i="42"/>
  <c r="O40" i="42"/>
  <c r="O45" i="42"/>
  <c r="O48" i="42"/>
  <c r="O50" i="42"/>
  <c r="O52" i="42"/>
  <c r="O73" i="42"/>
  <c r="O79" i="42"/>
  <c r="O84" i="42"/>
  <c r="O86" i="42"/>
  <c r="O88" i="42"/>
  <c r="O92" i="42"/>
  <c r="O94" i="42"/>
  <c r="O98" i="42"/>
  <c r="O100" i="42"/>
  <c r="O102" i="42"/>
  <c r="O106" i="42"/>
  <c r="O108" i="42"/>
  <c r="O31" i="42"/>
  <c r="O39" i="42"/>
  <c r="O67" i="42"/>
  <c r="O69" i="42"/>
  <c r="O78" i="42"/>
  <c r="O97" i="42"/>
  <c r="O116" i="42"/>
  <c r="O118" i="42"/>
  <c r="O136" i="42"/>
  <c r="O36" i="42"/>
  <c r="O38" i="42"/>
  <c r="O41" i="42"/>
  <c r="O47" i="42"/>
  <c r="O49" i="42"/>
  <c r="O51" i="42"/>
  <c r="O53" i="42"/>
  <c r="O57" i="42"/>
  <c r="O61" i="42"/>
  <c r="O66" i="42"/>
  <c r="O72" i="42"/>
  <c r="O74" i="42"/>
  <c r="O76" i="42"/>
  <c r="O87" i="42"/>
  <c r="O89" i="42"/>
  <c r="O128" i="42"/>
  <c r="O130" i="42"/>
  <c r="O135" i="42"/>
  <c r="O58" i="42"/>
  <c r="O71" i="42"/>
  <c r="O91" i="42"/>
  <c r="O111" i="42"/>
  <c r="O113" i="42"/>
  <c r="O54" i="42"/>
  <c r="O56" i="42"/>
  <c r="O59" i="42"/>
  <c r="O65" i="42"/>
  <c r="O68" i="42"/>
  <c r="O70" i="42"/>
  <c r="O75" i="42"/>
  <c r="O77" i="42"/>
  <c r="O83" i="42"/>
  <c r="O85" i="42"/>
  <c r="O90" i="42"/>
  <c r="O95" i="42"/>
  <c r="O105" i="42"/>
  <c r="O115" i="42"/>
  <c r="O124" i="42"/>
  <c r="O126" i="42"/>
  <c r="C153" i="42"/>
  <c r="C154" i="42" s="1"/>
  <c r="C169" i="42" s="1"/>
  <c r="O93" i="42"/>
  <c r="O96" i="42"/>
  <c r="O99" i="42"/>
  <c r="O101" i="42"/>
  <c r="O104" i="42"/>
  <c r="O107" i="42"/>
  <c r="O109" i="42"/>
  <c r="O112" i="42"/>
  <c r="O114" i="42"/>
  <c r="O119" i="42"/>
  <c r="O129" i="42"/>
  <c r="O134" i="42"/>
  <c r="N20" i="42"/>
  <c r="N26" i="42" s="1"/>
  <c r="O22" i="42"/>
  <c r="O12" i="42"/>
  <c r="O19" i="42"/>
  <c r="O21" i="42"/>
  <c r="O18" i="42"/>
  <c r="O10" i="42"/>
  <c r="O15" i="42"/>
  <c r="O24" i="42"/>
  <c r="G139" i="42"/>
  <c r="L138" i="42"/>
  <c r="L26" i="42"/>
  <c r="C138" i="42"/>
  <c r="N31" i="42"/>
  <c r="N138" i="42" s="1"/>
  <c r="O13" i="42"/>
  <c r="O20" i="42"/>
  <c r="O25" i="42"/>
  <c r="C159" i="41"/>
  <c r="C162" i="41"/>
  <c r="C168" i="43" l="1"/>
  <c r="C167" i="42"/>
  <c r="C164" i="41"/>
  <c r="C151" i="41"/>
  <c r="M138" i="41"/>
  <c r="C153" i="41" s="1"/>
  <c r="K138" i="41"/>
  <c r="J138" i="41"/>
  <c r="I138" i="41"/>
  <c r="H138" i="41"/>
  <c r="G138" i="41"/>
  <c r="F138" i="41"/>
  <c r="E138" i="41"/>
  <c r="D138" i="41"/>
  <c r="L137" i="41"/>
  <c r="N137" i="41" s="1"/>
  <c r="N136" i="41"/>
  <c r="L136" i="41"/>
  <c r="L135" i="41"/>
  <c r="N135" i="41" s="1"/>
  <c r="L134" i="41"/>
  <c r="N134" i="41" s="1"/>
  <c r="L130" i="41"/>
  <c r="N130" i="41" s="1"/>
  <c r="L129" i="41"/>
  <c r="N129" i="41" s="1"/>
  <c r="L128" i="41"/>
  <c r="N128" i="41" s="1"/>
  <c r="C128" i="41"/>
  <c r="L127" i="41"/>
  <c r="N127" i="41" s="1"/>
  <c r="L126" i="41"/>
  <c r="N126" i="41" s="1"/>
  <c r="L125" i="41"/>
  <c r="N125" i="41" s="1"/>
  <c r="L124" i="41"/>
  <c r="N124" i="41" s="1"/>
  <c r="L119" i="41"/>
  <c r="N119" i="41" s="1"/>
  <c r="L118" i="41"/>
  <c r="N118" i="41" s="1"/>
  <c r="L117" i="41"/>
  <c r="N117" i="41" s="1"/>
  <c r="N116" i="41"/>
  <c r="L116" i="41"/>
  <c r="L115" i="41"/>
  <c r="N115" i="41" s="1"/>
  <c r="L114" i="41"/>
  <c r="N114" i="41" s="1"/>
  <c r="L113" i="41"/>
  <c r="N113" i="41" s="1"/>
  <c r="L112" i="41"/>
  <c r="N112" i="41" s="1"/>
  <c r="L111" i="41"/>
  <c r="N111" i="41" s="1"/>
  <c r="L110" i="41"/>
  <c r="N110" i="41" s="1"/>
  <c r="L109" i="41"/>
  <c r="N109" i="41" s="1"/>
  <c r="C109" i="41"/>
  <c r="C138" i="41" s="1"/>
  <c r="L108" i="41"/>
  <c r="N108" i="41" s="1"/>
  <c r="L107" i="41"/>
  <c r="N107" i="41" s="1"/>
  <c r="L106" i="41"/>
  <c r="N106" i="41" s="1"/>
  <c r="L105" i="41"/>
  <c r="N105" i="41" s="1"/>
  <c r="L104" i="41"/>
  <c r="N104" i="41" s="1"/>
  <c r="N103" i="41"/>
  <c r="L103" i="41"/>
  <c r="L102" i="41"/>
  <c r="N102" i="41" s="1"/>
  <c r="L101" i="41"/>
  <c r="N101" i="41" s="1"/>
  <c r="L100" i="41"/>
  <c r="N100" i="41" s="1"/>
  <c r="L99" i="41"/>
  <c r="N99" i="41" s="1"/>
  <c r="L98" i="41"/>
  <c r="N98" i="41" s="1"/>
  <c r="L97" i="41"/>
  <c r="N97" i="41" s="1"/>
  <c r="L96" i="41"/>
  <c r="N96" i="41" s="1"/>
  <c r="L95" i="41"/>
  <c r="N95" i="41" s="1"/>
  <c r="L94" i="41"/>
  <c r="N94" i="41" s="1"/>
  <c r="N93" i="41"/>
  <c r="L93" i="41"/>
  <c r="L92" i="41"/>
  <c r="N92" i="41" s="1"/>
  <c r="L91" i="41"/>
  <c r="N91" i="41" s="1"/>
  <c r="L90" i="41"/>
  <c r="N90" i="41" s="1"/>
  <c r="L89" i="41"/>
  <c r="N89" i="41" s="1"/>
  <c r="L88" i="41"/>
  <c r="N88" i="41" s="1"/>
  <c r="L87" i="41"/>
  <c r="N87" i="41" s="1"/>
  <c r="L86" i="41"/>
  <c r="N86" i="41" s="1"/>
  <c r="L85" i="41"/>
  <c r="N85" i="41" s="1"/>
  <c r="L84" i="41"/>
  <c r="N84" i="41" s="1"/>
  <c r="N83" i="41"/>
  <c r="L83" i="41"/>
  <c r="L79" i="41"/>
  <c r="N79" i="41" s="1"/>
  <c r="L78" i="41"/>
  <c r="N78" i="41" s="1"/>
  <c r="L77" i="41"/>
  <c r="N77" i="41" s="1"/>
  <c r="L76" i="41"/>
  <c r="N76" i="41" s="1"/>
  <c r="L75" i="41"/>
  <c r="N75" i="41" s="1"/>
  <c r="L74" i="41"/>
  <c r="N74" i="41" s="1"/>
  <c r="L73" i="41"/>
  <c r="N73" i="41" s="1"/>
  <c r="N72" i="41"/>
  <c r="L72" i="41"/>
  <c r="L71" i="41"/>
  <c r="N71" i="41" s="1"/>
  <c r="L70" i="41"/>
  <c r="N70" i="41" s="1"/>
  <c r="L69" i="41"/>
  <c r="N69" i="41" s="1"/>
  <c r="L68" i="41"/>
  <c r="N68" i="41" s="1"/>
  <c r="L67" i="41"/>
  <c r="N67" i="41" s="1"/>
  <c r="L66" i="41"/>
  <c r="N66" i="41" s="1"/>
  <c r="L65" i="41"/>
  <c r="N65" i="41" s="1"/>
  <c r="L64" i="41"/>
  <c r="N64" i="41" s="1"/>
  <c r="L63" i="41"/>
  <c r="N63" i="41" s="1"/>
  <c r="L62" i="41"/>
  <c r="N62" i="41" s="1"/>
  <c r="L61" i="41"/>
  <c r="N61" i="41" s="1"/>
  <c r="L60" i="41"/>
  <c r="N60" i="41" s="1"/>
  <c r="L59" i="41"/>
  <c r="N59" i="41" s="1"/>
  <c r="N58" i="41"/>
  <c r="L58" i="41"/>
  <c r="L57" i="41"/>
  <c r="N57" i="41" s="1"/>
  <c r="L56" i="41"/>
  <c r="N56" i="41" s="1"/>
  <c r="L55" i="41"/>
  <c r="N55" i="41" s="1"/>
  <c r="L54" i="41"/>
  <c r="N54" i="41" s="1"/>
  <c r="L53" i="41"/>
  <c r="N53" i="41" s="1"/>
  <c r="L52" i="41"/>
  <c r="N52" i="41" s="1"/>
  <c r="L51" i="41"/>
  <c r="N51" i="41" s="1"/>
  <c r="L50" i="41"/>
  <c r="N50" i="41" s="1"/>
  <c r="N49" i="41"/>
  <c r="L49" i="41"/>
  <c r="L48" i="41"/>
  <c r="N48" i="41" s="1"/>
  <c r="N47" i="41"/>
  <c r="L47" i="41"/>
  <c r="L46" i="41"/>
  <c r="N46" i="41" s="1"/>
  <c r="N45" i="41"/>
  <c r="L45" i="41"/>
  <c r="L41" i="41"/>
  <c r="N41" i="41" s="1"/>
  <c r="N40" i="41"/>
  <c r="L40" i="41"/>
  <c r="L39" i="41"/>
  <c r="N39" i="41" s="1"/>
  <c r="N38" i="41"/>
  <c r="L38" i="41"/>
  <c r="L37" i="41"/>
  <c r="N37" i="41" s="1"/>
  <c r="N36" i="41"/>
  <c r="L36" i="41"/>
  <c r="L35" i="41"/>
  <c r="N35" i="41" s="1"/>
  <c r="L34" i="41"/>
  <c r="N34" i="41" s="1"/>
  <c r="N33" i="41"/>
  <c r="L33" i="41"/>
  <c r="L32" i="41"/>
  <c r="N32" i="41" s="1"/>
  <c r="N31" i="41"/>
  <c r="L31" i="41"/>
  <c r="M26" i="41"/>
  <c r="O22" i="41" s="1"/>
  <c r="K26" i="41"/>
  <c r="J26" i="41"/>
  <c r="I26" i="41"/>
  <c r="H26" i="41"/>
  <c r="G26" i="41"/>
  <c r="F26" i="41"/>
  <c r="E26" i="41"/>
  <c r="D26" i="41"/>
  <c r="C26" i="41"/>
  <c r="C27" i="41" s="1"/>
  <c r="N25" i="41"/>
  <c r="L25" i="41"/>
  <c r="L24" i="41"/>
  <c r="N24" i="41" s="1"/>
  <c r="N22" i="41"/>
  <c r="L22" i="41"/>
  <c r="L21" i="41"/>
  <c r="N21" i="41" s="1"/>
  <c r="N20" i="41"/>
  <c r="L20" i="41"/>
  <c r="L19" i="41"/>
  <c r="N19" i="41" s="1"/>
  <c r="L18" i="41"/>
  <c r="N18" i="41" s="1"/>
  <c r="L15" i="41"/>
  <c r="N15" i="41" s="1"/>
  <c r="L13" i="41"/>
  <c r="N13" i="41" s="1"/>
  <c r="L12" i="41"/>
  <c r="N12" i="41" s="1"/>
  <c r="L11" i="41"/>
  <c r="L10" i="41"/>
  <c r="O21" i="41" l="1"/>
  <c r="O15" i="41"/>
  <c r="O41" i="41"/>
  <c r="O47" i="41"/>
  <c r="O57" i="41"/>
  <c r="O36" i="41"/>
  <c r="O31" i="41"/>
  <c r="O46" i="41"/>
  <c r="O51" i="41"/>
  <c r="O59" i="41"/>
  <c r="O66" i="41"/>
  <c r="O70" i="41"/>
  <c r="O86" i="41"/>
  <c r="O90" i="41"/>
  <c r="O103" i="41"/>
  <c r="O107" i="41"/>
  <c r="O118" i="41"/>
  <c r="O33" i="41"/>
  <c r="O37" i="41"/>
  <c r="O40" i="41"/>
  <c r="O48" i="41"/>
  <c r="O56" i="41"/>
  <c r="O72" i="41"/>
  <c r="O74" i="41"/>
  <c r="O76" i="41"/>
  <c r="O78" i="41"/>
  <c r="O94" i="41"/>
  <c r="O96" i="41"/>
  <c r="O98" i="41"/>
  <c r="O100" i="41"/>
  <c r="O102" i="41"/>
  <c r="O109" i="41"/>
  <c r="O111" i="41"/>
  <c r="O113" i="41"/>
  <c r="O115" i="41"/>
  <c r="O128" i="41"/>
  <c r="O130" i="41"/>
  <c r="O135" i="41"/>
  <c r="O73" i="41"/>
  <c r="O75" i="41"/>
  <c r="O77" i="41"/>
  <c r="O79" i="41"/>
  <c r="O93" i="41"/>
  <c r="O95" i="41"/>
  <c r="O97" i="41"/>
  <c r="O99" i="41"/>
  <c r="O101" i="41"/>
  <c r="O110" i="41"/>
  <c r="O112" i="41"/>
  <c r="O114" i="41"/>
  <c r="O129" i="41"/>
  <c r="O134" i="41"/>
  <c r="O35" i="41"/>
  <c r="O38" i="41"/>
  <c r="O49" i="41"/>
  <c r="O53" i="41"/>
  <c r="O61" i="41"/>
  <c r="O64" i="41"/>
  <c r="O68" i="41"/>
  <c r="O84" i="41"/>
  <c r="O88" i="41"/>
  <c r="O92" i="41"/>
  <c r="O105" i="41"/>
  <c r="O116" i="41"/>
  <c r="O124" i="41"/>
  <c r="O126" i="41"/>
  <c r="O136" i="41"/>
  <c r="O32" i="41"/>
  <c r="O39" i="41"/>
  <c r="O45" i="41"/>
  <c r="O50" i="41"/>
  <c r="O52" i="41"/>
  <c r="O54" i="41"/>
  <c r="O58" i="41"/>
  <c r="O60" i="41"/>
  <c r="O65" i="41"/>
  <c r="O67" i="41"/>
  <c r="O69" i="41"/>
  <c r="O71" i="41"/>
  <c r="O83" i="41"/>
  <c r="O85" i="41"/>
  <c r="O87" i="41"/>
  <c r="O89" i="41"/>
  <c r="O91" i="41"/>
  <c r="O104" i="41"/>
  <c r="O106" i="41"/>
  <c r="O108" i="41"/>
  <c r="O117" i="41"/>
  <c r="O119" i="41"/>
  <c r="O125" i="41"/>
  <c r="O127" i="41"/>
  <c r="O137" i="41"/>
  <c r="G139" i="41"/>
  <c r="L138" i="41"/>
  <c r="L26" i="41"/>
  <c r="N138" i="41"/>
  <c r="C152" i="41"/>
  <c r="C154" i="41" s="1"/>
  <c r="N10" i="41"/>
  <c r="N26" i="41" s="1"/>
  <c r="O13" i="41"/>
  <c r="O20" i="41"/>
  <c r="O25" i="41"/>
  <c r="O12" i="41"/>
  <c r="O10" i="41"/>
  <c r="O19" i="41"/>
  <c r="O24" i="41"/>
  <c r="O18" i="41"/>
  <c r="C159" i="40"/>
  <c r="C162" i="40"/>
  <c r="C151" i="40"/>
  <c r="M138" i="40"/>
  <c r="C153" i="40" s="1"/>
  <c r="K138" i="40"/>
  <c r="J138" i="40"/>
  <c r="I138" i="40"/>
  <c r="H138" i="40"/>
  <c r="G138" i="40"/>
  <c r="F138" i="40"/>
  <c r="E138" i="40"/>
  <c r="D138" i="40"/>
  <c r="L137" i="40"/>
  <c r="N137" i="40" s="1"/>
  <c r="N136" i="40"/>
  <c r="L136" i="40"/>
  <c r="N135" i="40"/>
  <c r="L135" i="40"/>
  <c r="L134" i="40"/>
  <c r="N134" i="40" s="1"/>
  <c r="L130" i="40"/>
  <c r="N130" i="40" s="1"/>
  <c r="N129" i="40"/>
  <c r="L129" i="40"/>
  <c r="N128" i="40"/>
  <c r="L128" i="40"/>
  <c r="C128" i="40"/>
  <c r="N127" i="40"/>
  <c r="L127" i="40"/>
  <c r="L126" i="40"/>
  <c r="N126" i="40" s="1"/>
  <c r="L125" i="40"/>
  <c r="N125" i="40" s="1"/>
  <c r="N124" i="40"/>
  <c r="L124" i="40"/>
  <c r="N119" i="40"/>
  <c r="L119" i="40"/>
  <c r="L118" i="40"/>
  <c r="N118" i="40" s="1"/>
  <c r="L117" i="40"/>
  <c r="N117" i="40" s="1"/>
  <c r="N116" i="40"/>
  <c r="L116" i="40"/>
  <c r="N115" i="40"/>
  <c r="L115" i="40"/>
  <c r="L114" i="40"/>
  <c r="N114" i="40" s="1"/>
  <c r="L113" i="40"/>
  <c r="N113" i="40" s="1"/>
  <c r="N112" i="40"/>
  <c r="L112" i="40"/>
  <c r="N111" i="40"/>
  <c r="L111" i="40"/>
  <c r="L110" i="40"/>
  <c r="N110" i="40" s="1"/>
  <c r="C109" i="40"/>
  <c r="L109" i="40" s="1"/>
  <c r="N109" i="40" s="1"/>
  <c r="L108" i="40"/>
  <c r="N108" i="40" s="1"/>
  <c r="N107" i="40"/>
  <c r="L107" i="40"/>
  <c r="N106" i="40"/>
  <c r="L106" i="40"/>
  <c r="L105" i="40"/>
  <c r="N105" i="40" s="1"/>
  <c r="L104" i="40"/>
  <c r="N104" i="40" s="1"/>
  <c r="N103" i="40"/>
  <c r="L103" i="40"/>
  <c r="N102" i="40"/>
  <c r="L102" i="40"/>
  <c r="L101" i="40"/>
  <c r="N101" i="40" s="1"/>
  <c r="L100" i="40"/>
  <c r="N100" i="40" s="1"/>
  <c r="N99" i="40"/>
  <c r="L99" i="40"/>
  <c r="N98" i="40"/>
  <c r="L98" i="40"/>
  <c r="L97" i="40"/>
  <c r="N97" i="40" s="1"/>
  <c r="L96" i="40"/>
  <c r="N96" i="40" s="1"/>
  <c r="N95" i="40"/>
  <c r="L95" i="40"/>
  <c r="N94" i="40"/>
  <c r="L94" i="40"/>
  <c r="L93" i="40"/>
  <c r="N93" i="40" s="1"/>
  <c r="L92" i="40"/>
  <c r="N92" i="40" s="1"/>
  <c r="N91" i="40"/>
  <c r="L91" i="40"/>
  <c r="N90" i="40"/>
  <c r="L90" i="40"/>
  <c r="L89" i="40"/>
  <c r="N89" i="40" s="1"/>
  <c r="L88" i="40"/>
  <c r="N88" i="40" s="1"/>
  <c r="N87" i="40"/>
  <c r="L87" i="40"/>
  <c r="N86" i="40"/>
  <c r="L86" i="40"/>
  <c r="L85" i="40"/>
  <c r="N85" i="40" s="1"/>
  <c r="L84" i="40"/>
  <c r="N84" i="40" s="1"/>
  <c r="N83" i="40"/>
  <c r="L83" i="40"/>
  <c r="N79" i="40"/>
  <c r="L79" i="40"/>
  <c r="L78" i="40"/>
  <c r="N78" i="40" s="1"/>
  <c r="L77" i="40"/>
  <c r="N77" i="40" s="1"/>
  <c r="N76" i="40"/>
  <c r="L76" i="40"/>
  <c r="N75" i="40"/>
  <c r="L75" i="40"/>
  <c r="L74" i="40"/>
  <c r="N74" i="40" s="1"/>
  <c r="L73" i="40"/>
  <c r="N73" i="40" s="1"/>
  <c r="N72" i="40"/>
  <c r="L72" i="40"/>
  <c r="N71" i="40"/>
  <c r="L71" i="40"/>
  <c r="L70" i="40"/>
  <c r="N70" i="40" s="1"/>
  <c r="L69" i="40"/>
  <c r="N69" i="40" s="1"/>
  <c r="N68" i="40"/>
  <c r="L68" i="40"/>
  <c r="N67" i="40"/>
  <c r="L67" i="40"/>
  <c r="L66" i="40"/>
  <c r="N66" i="40" s="1"/>
  <c r="L65" i="40"/>
  <c r="N65" i="40" s="1"/>
  <c r="N64" i="40"/>
  <c r="L64" i="40"/>
  <c r="L63" i="40"/>
  <c r="N63" i="40" s="1"/>
  <c r="N62" i="40"/>
  <c r="L62" i="40"/>
  <c r="N61" i="40"/>
  <c r="L61" i="40"/>
  <c r="L60" i="40"/>
  <c r="N60" i="40" s="1"/>
  <c r="L59" i="40"/>
  <c r="N59" i="40" s="1"/>
  <c r="N58" i="40"/>
  <c r="L58" i="40"/>
  <c r="N57" i="40"/>
  <c r="L57" i="40"/>
  <c r="L56" i="40"/>
  <c r="N56" i="40" s="1"/>
  <c r="N55" i="40"/>
  <c r="L55" i="40"/>
  <c r="N54" i="40"/>
  <c r="L54" i="40"/>
  <c r="L53" i="40"/>
  <c r="N53" i="40" s="1"/>
  <c r="L52" i="40"/>
  <c r="N52" i="40" s="1"/>
  <c r="N51" i="40"/>
  <c r="L51" i="40"/>
  <c r="N50" i="40"/>
  <c r="L50" i="40"/>
  <c r="L49" i="40"/>
  <c r="N49" i="40" s="1"/>
  <c r="L48" i="40"/>
  <c r="N48" i="40" s="1"/>
  <c r="N47" i="40"/>
  <c r="L47" i="40"/>
  <c r="N46" i="40"/>
  <c r="L46" i="40"/>
  <c r="L45" i="40"/>
  <c r="N45" i="40" s="1"/>
  <c r="L41" i="40"/>
  <c r="N41" i="40" s="1"/>
  <c r="N40" i="40"/>
  <c r="L40" i="40"/>
  <c r="N39" i="40"/>
  <c r="L39" i="40"/>
  <c r="L38" i="40"/>
  <c r="N38" i="40" s="1"/>
  <c r="L37" i="40"/>
  <c r="N37" i="40" s="1"/>
  <c r="N36" i="40"/>
  <c r="L36" i="40"/>
  <c r="N35" i="40"/>
  <c r="L35" i="40"/>
  <c r="L34" i="40"/>
  <c r="N34" i="40" s="1"/>
  <c r="N33" i="40"/>
  <c r="L33" i="40"/>
  <c r="N32" i="40"/>
  <c r="L32" i="40"/>
  <c r="L31" i="40"/>
  <c r="M26" i="40"/>
  <c r="O25" i="40" s="1"/>
  <c r="K26" i="40"/>
  <c r="J26" i="40"/>
  <c r="I26" i="40"/>
  <c r="H26" i="40"/>
  <c r="G26" i="40"/>
  <c r="F26" i="40"/>
  <c r="E26" i="40"/>
  <c r="D26" i="40"/>
  <c r="C26" i="40"/>
  <c r="C27" i="40" s="1"/>
  <c r="L25" i="40"/>
  <c r="N25" i="40" s="1"/>
  <c r="L24" i="40"/>
  <c r="N24" i="40" s="1"/>
  <c r="O22" i="40"/>
  <c r="N22" i="40"/>
  <c r="L22" i="40"/>
  <c r="N21" i="40"/>
  <c r="L21" i="40"/>
  <c r="L20" i="40"/>
  <c r="N20" i="40" s="1"/>
  <c r="L19" i="40"/>
  <c r="N19" i="40" s="1"/>
  <c r="N18" i="40"/>
  <c r="L18" i="40"/>
  <c r="N15" i="40"/>
  <c r="L15" i="40"/>
  <c r="L13" i="40"/>
  <c r="N13" i="40" s="1"/>
  <c r="L12" i="40"/>
  <c r="N12" i="40" s="1"/>
  <c r="L11" i="40"/>
  <c r="L26" i="40" s="1"/>
  <c r="L10" i="40"/>
  <c r="N10" i="40" s="1"/>
  <c r="C169" i="41" l="1"/>
  <c r="C167" i="41"/>
  <c r="C164" i="40"/>
  <c r="O12" i="40"/>
  <c r="O15" i="40"/>
  <c r="O19" i="40"/>
  <c r="O21" i="40"/>
  <c r="O10" i="40"/>
  <c r="O24" i="40"/>
  <c r="O18" i="40"/>
  <c r="O45" i="40"/>
  <c r="O53" i="40"/>
  <c r="O73" i="40"/>
  <c r="O75" i="40"/>
  <c r="O92" i="40"/>
  <c r="O94" i="40"/>
  <c r="O65" i="40"/>
  <c r="O67" i="40"/>
  <c r="O84" i="40"/>
  <c r="O86" i="40"/>
  <c r="O100" i="40"/>
  <c r="O102" i="40"/>
  <c r="O61" i="40"/>
  <c r="O116" i="40"/>
  <c r="O125" i="40"/>
  <c r="O127" i="40"/>
  <c r="O108" i="40"/>
  <c r="O113" i="40"/>
  <c r="O115" i="40"/>
  <c r="O137" i="40"/>
  <c r="O32" i="40"/>
  <c r="O40" i="40"/>
  <c r="O51" i="40"/>
  <c r="O60" i="40"/>
  <c r="O70" i="40"/>
  <c r="O78" i="40"/>
  <c r="O89" i="40"/>
  <c r="O97" i="40"/>
  <c r="O105" i="40"/>
  <c r="O134" i="40"/>
  <c r="O31" i="40"/>
  <c r="O37" i="40"/>
  <c r="O39" i="40"/>
  <c r="O48" i="40"/>
  <c r="O50" i="40"/>
  <c r="O58" i="40"/>
  <c r="O68" i="40"/>
  <c r="O76" i="40"/>
  <c r="O87" i="40"/>
  <c r="O95" i="40"/>
  <c r="O103" i="40"/>
  <c r="O110" i="40"/>
  <c r="O118" i="40"/>
  <c r="O129" i="40"/>
  <c r="O36" i="40"/>
  <c r="O38" i="40"/>
  <c r="O41" i="40"/>
  <c r="O47" i="40"/>
  <c r="O49" i="40"/>
  <c r="O52" i="40"/>
  <c r="O57" i="40"/>
  <c r="O64" i="40"/>
  <c r="O66" i="40"/>
  <c r="O69" i="40"/>
  <c r="O72" i="40"/>
  <c r="O74" i="40"/>
  <c r="O77" i="40"/>
  <c r="O83" i="40"/>
  <c r="O85" i="40"/>
  <c r="O88" i="40"/>
  <c r="O91" i="40"/>
  <c r="O93" i="40"/>
  <c r="O96" i="40"/>
  <c r="O99" i="40"/>
  <c r="O101" i="40"/>
  <c r="O104" i="40"/>
  <c r="O107" i="40"/>
  <c r="O109" i="40"/>
  <c r="O112" i="40"/>
  <c r="O114" i="40"/>
  <c r="O117" i="40"/>
  <c r="O124" i="40"/>
  <c r="O126" i="40"/>
  <c r="O130" i="40"/>
  <c r="O136" i="40"/>
  <c r="O33" i="40"/>
  <c r="O35" i="40"/>
  <c r="O46" i="40"/>
  <c r="O54" i="40"/>
  <c r="O56" i="40"/>
  <c r="O59" i="40"/>
  <c r="O71" i="40"/>
  <c r="O79" i="40"/>
  <c r="O90" i="40"/>
  <c r="O98" i="40"/>
  <c r="O106" i="40"/>
  <c r="O111" i="40"/>
  <c r="O119" i="40"/>
  <c r="O135" i="40"/>
  <c r="O128" i="40"/>
  <c r="N26" i="40"/>
  <c r="L138" i="40"/>
  <c r="C138" i="40"/>
  <c r="N31" i="40"/>
  <c r="N138" i="40" s="1"/>
  <c r="C152" i="40"/>
  <c r="C154" i="40" s="1"/>
  <c r="O13" i="40"/>
  <c r="O20" i="40"/>
  <c r="N55" i="39"/>
  <c r="L55" i="39"/>
  <c r="C167" i="40" l="1"/>
  <c r="C169" i="40"/>
  <c r="C159" i="39"/>
  <c r="C160" i="39"/>
  <c r="C164" i="39" s="1"/>
  <c r="C152" i="39"/>
  <c r="C162" i="39"/>
  <c r="M26" i="39"/>
  <c r="N34" i="39" l="1"/>
  <c r="L34" i="39"/>
  <c r="C151" i="39"/>
  <c r="K138" i="39"/>
  <c r="J138" i="39"/>
  <c r="I138" i="39"/>
  <c r="H138" i="39"/>
  <c r="G138" i="39"/>
  <c r="F138" i="39"/>
  <c r="E138" i="39"/>
  <c r="D138" i="39"/>
  <c r="L137" i="39"/>
  <c r="N137" i="39" s="1"/>
  <c r="N136" i="39"/>
  <c r="L136" i="39"/>
  <c r="L135" i="39"/>
  <c r="N135" i="39" s="1"/>
  <c r="L134" i="39"/>
  <c r="N134" i="39" s="1"/>
  <c r="L130" i="39"/>
  <c r="N130" i="39" s="1"/>
  <c r="N129" i="39"/>
  <c r="L129" i="39"/>
  <c r="L128" i="39"/>
  <c r="N128" i="39" s="1"/>
  <c r="C128" i="39"/>
  <c r="L127" i="39"/>
  <c r="N127" i="39" s="1"/>
  <c r="N126" i="39"/>
  <c r="L126" i="39"/>
  <c r="L125" i="39"/>
  <c r="N125" i="39" s="1"/>
  <c r="N124" i="39"/>
  <c r="L124" i="39"/>
  <c r="L119" i="39"/>
  <c r="N119" i="39" s="1"/>
  <c r="N118" i="39"/>
  <c r="L118" i="39"/>
  <c r="L117" i="39"/>
  <c r="N117" i="39" s="1"/>
  <c r="N116" i="39"/>
  <c r="L116" i="39"/>
  <c r="L115" i="39"/>
  <c r="N115" i="39" s="1"/>
  <c r="N114" i="39"/>
  <c r="L114" i="39"/>
  <c r="L113" i="39"/>
  <c r="N113" i="39" s="1"/>
  <c r="N112" i="39"/>
  <c r="L112" i="39"/>
  <c r="L111" i="39"/>
  <c r="N111" i="39" s="1"/>
  <c r="N110" i="39"/>
  <c r="L110" i="39"/>
  <c r="L109" i="39"/>
  <c r="N109" i="39" s="1"/>
  <c r="C109" i="39"/>
  <c r="C138" i="39" s="1"/>
  <c r="L108" i="39"/>
  <c r="N108" i="39" s="1"/>
  <c r="N107" i="39"/>
  <c r="L107" i="39"/>
  <c r="L106" i="39"/>
  <c r="N106" i="39" s="1"/>
  <c r="N105" i="39"/>
  <c r="L105" i="39"/>
  <c r="L104" i="39"/>
  <c r="N104" i="39" s="1"/>
  <c r="N103" i="39"/>
  <c r="L103" i="39"/>
  <c r="L102" i="39"/>
  <c r="N102" i="39" s="1"/>
  <c r="N101" i="39"/>
  <c r="L101" i="39"/>
  <c r="L100" i="39"/>
  <c r="N100" i="39" s="1"/>
  <c r="N99" i="39"/>
  <c r="L99" i="39"/>
  <c r="L98" i="39"/>
  <c r="N98" i="39" s="1"/>
  <c r="N97" i="39"/>
  <c r="L97" i="39"/>
  <c r="L96" i="39"/>
  <c r="N96" i="39" s="1"/>
  <c r="N95" i="39"/>
  <c r="L95" i="39"/>
  <c r="L94" i="39"/>
  <c r="N94" i="39" s="1"/>
  <c r="N93" i="39"/>
  <c r="L93" i="39"/>
  <c r="L92" i="39"/>
  <c r="N92" i="39" s="1"/>
  <c r="N91" i="39"/>
  <c r="L91" i="39"/>
  <c r="L90" i="39"/>
  <c r="N90" i="39" s="1"/>
  <c r="N89" i="39"/>
  <c r="L89" i="39"/>
  <c r="L88" i="39"/>
  <c r="N88" i="39" s="1"/>
  <c r="N87" i="39"/>
  <c r="L87" i="39"/>
  <c r="L86" i="39"/>
  <c r="N86" i="39" s="1"/>
  <c r="N85" i="39"/>
  <c r="L85" i="39"/>
  <c r="L84" i="39"/>
  <c r="N84" i="39" s="1"/>
  <c r="N83" i="39"/>
  <c r="L83" i="39"/>
  <c r="L79" i="39"/>
  <c r="N79" i="39" s="1"/>
  <c r="L78" i="39"/>
  <c r="N78" i="39" s="1"/>
  <c r="L77" i="39"/>
  <c r="N77" i="39" s="1"/>
  <c r="N76" i="39"/>
  <c r="L76" i="39"/>
  <c r="L75" i="39"/>
  <c r="N75" i="39" s="1"/>
  <c r="N74" i="39"/>
  <c r="L74" i="39"/>
  <c r="L73" i="39"/>
  <c r="N73" i="39" s="1"/>
  <c r="L72" i="39"/>
  <c r="N72" i="39" s="1"/>
  <c r="L71" i="39"/>
  <c r="N71" i="39" s="1"/>
  <c r="L70" i="39"/>
  <c r="N70" i="39" s="1"/>
  <c r="L69" i="39"/>
  <c r="N69" i="39" s="1"/>
  <c r="N68" i="39"/>
  <c r="L68" i="39"/>
  <c r="L67" i="39"/>
  <c r="N67" i="39" s="1"/>
  <c r="N66" i="39"/>
  <c r="L66" i="39"/>
  <c r="L65" i="39"/>
  <c r="N65" i="39" s="1"/>
  <c r="L64" i="39"/>
  <c r="N64" i="39" s="1"/>
  <c r="L63" i="39"/>
  <c r="N63" i="39" s="1"/>
  <c r="L62" i="39"/>
  <c r="N62" i="39" s="1"/>
  <c r="L61" i="39"/>
  <c r="N61" i="39" s="1"/>
  <c r="L60" i="39"/>
  <c r="N60" i="39" s="1"/>
  <c r="L59" i="39"/>
  <c r="N59" i="39" s="1"/>
  <c r="N58" i="39"/>
  <c r="L58" i="39"/>
  <c r="L57" i="39"/>
  <c r="N57" i="39" s="1"/>
  <c r="N56" i="39"/>
  <c r="L56" i="39"/>
  <c r="L54" i="39"/>
  <c r="N54" i="39" s="1"/>
  <c r="L53" i="39"/>
  <c r="N53" i="39" s="1"/>
  <c r="L52" i="39"/>
  <c r="N52" i="39" s="1"/>
  <c r="L51" i="39"/>
  <c r="N51" i="39" s="1"/>
  <c r="L50" i="39"/>
  <c r="N50" i="39" s="1"/>
  <c r="N49" i="39"/>
  <c r="L49" i="39"/>
  <c r="L48" i="39"/>
  <c r="N48" i="39" s="1"/>
  <c r="N47" i="39"/>
  <c r="L47" i="39"/>
  <c r="L46" i="39"/>
  <c r="N46" i="39" s="1"/>
  <c r="L45" i="39"/>
  <c r="N45" i="39" s="1"/>
  <c r="L41" i="39"/>
  <c r="N41" i="39" s="1"/>
  <c r="L40" i="39"/>
  <c r="N40" i="39" s="1"/>
  <c r="L39" i="39"/>
  <c r="N39" i="39" s="1"/>
  <c r="L38" i="39"/>
  <c r="N38" i="39" s="1"/>
  <c r="L37" i="39"/>
  <c r="N37" i="39" s="1"/>
  <c r="L36" i="39"/>
  <c r="N36" i="39" s="1"/>
  <c r="L35" i="39"/>
  <c r="N35" i="39" s="1"/>
  <c r="N33" i="39"/>
  <c r="L33" i="39"/>
  <c r="L32" i="39"/>
  <c r="N32" i="39" s="1"/>
  <c r="M138" i="39"/>
  <c r="L31" i="39"/>
  <c r="K26" i="39"/>
  <c r="J26" i="39"/>
  <c r="I26" i="39"/>
  <c r="H26" i="39"/>
  <c r="G26" i="39"/>
  <c r="F26" i="39"/>
  <c r="E26" i="39"/>
  <c r="D26" i="39"/>
  <c r="C26" i="39"/>
  <c r="C27" i="39" s="1"/>
  <c r="L25" i="39"/>
  <c r="N25" i="39" s="1"/>
  <c r="N24" i="39"/>
  <c r="L24" i="39"/>
  <c r="L22" i="39"/>
  <c r="N22" i="39" s="1"/>
  <c r="L21" i="39"/>
  <c r="N21" i="39" s="1"/>
  <c r="L20" i="39"/>
  <c r="N20" i="39" s="1"/>
  <c r="L19" i="39"/>
  <c r="N19" i="39" s="1"/>
  <c r="L18" i="39"/>
  <c r="N18" i="39" s="1"/>
  <c r="L15" i="39"/>
  <c r="N15" i="39" s="1"/>
  <c r="L13" i="39"/>
  <c r="N13" i="39" s="1"/>
  <c r="L12" i="39"/>
  <c r="L11" i="39"/>
  <c r="L10" i="39"/>
  <c r="N10" i="39" s="1"/>
  <c r="L26" i="39" l="1"/>
  <c r="L138" i="39"/>
  <c r="C153" i="39"/>
  <c r="O134" i="39"/>
  <c r="O126" i="39"/>
  <c r="O118" i="39"/>
  <c r="O114" i="39"/>
  <c r="O110" i="39"/>
  <c r="O105" i="39"/>
  <c r="O101" i="39"/>
  <c r="O97" i="39"/>
  <c r="O93" i="39"/>
  <c r="O89" i="39"/>
  <c r="O85" i="39"/>
  <c r="O78" i="39"/>
  <c r="O74" i="39"/>
  <c r="O70" i="39"/>
  <c r="O66" i="39"/>
  <c r="O60" i="39"/>
  <c r="O56" i="39"/>
  <c r="O51" i="39"/>
  <c r="O47" i="39"/>
  <c r="O40" i="39"/>
  <c r="O36" i="39"/>
  <c r="O31" i="39"/>
  <c r="O67" i="39"/>
  <c r="O57" i="39"/>
  <c r="O48" i="39"/>
  <c r="O37" i="39"/>
  <c r="O104" i="39"/>
  <c r="O100" i="39"/>
  <c r="O92" i="39"/>
  <c r="O69" i="39"/>
  <c r="O35" i="39"/>
  <c r="O135" i="39"/>
  <c r="O128" i="39"/>
  <c r="O127" i="39"/>
  <c r="O119" i="39"/>
  <c r="O115" i="39"/>
  <c r="O111" i="39"/>
  <c r="O106" i="39"/>
  <c r="O102" i="39"/>
  <c r="O98" i="39"/>
  <c r="O94" i="39"/>
  <c r="O90" i="39"/>
  <c r="O86" i="39"/>
  <c r="O79" i="39"/>
  <c r="O75" i="39"/>
  <c r="O71" i="39"/>
  <c r="O61" i="39"/>
  <c r="O52" i="39"/>
  <c r="O41" i="39"/>
  <c r="O32" i="39"/>
  <c r="O117" i="39"/>
  <c r="O108" i="39"/>
  <c r="O96" i="39"/>
  <c r="O84" i="39"/>
  <c r="O73" i="39"/>
  <c r="O59" i="39"/>
  <c r="O39" i="39"/>
  <c r="O136" i="39"/>
  <c r="O129" i="39"/>
  <c r="O124" i="39"/>
  <c r="O116" i="39"/>
  <c r="O112" i="39"/>
  <c r="O107" i="39"/>
  <c r="O103" i="39"/>
  <c r="O99" i="39"/>
  <c r="O95" i="39"/>
  <c r="O91" i="39"/>
  <c r="O87" i="39"/>
  <c r="O83" i="39"/>
  <c r="O76" i="39"/>
  <c r="O72" i="39"/>
  <c r="O68" i="39"/>
  <c r="O64" i="39"/>
  <c r="O58" i="39"/>
  <c r="O53" i="39"/>
  <c r="O49" i="39"/>
  <c r="O45" i="39"/>
  <c r="O38" i="39"/>
  <c r="O33" i="39"/>
  <c r="O137" i="39"/>
  <c r="O130" i="39"/>
  <c r="O125" i="39"/>
  <c r="O113" i="39"/>
  <c r="O109" i="39"/>
  <c r="O88" i="39"/>
  <c r="O77" i="39"/>
  <c r="O65" i="39"/>
  <c r="O54" i="39"/>
  <c r="O50" i="39"/>
  <c r="O46" i="39"/>
  <c r="N12" i="39"/>
  <c r="N26" i="39" s="1"/>
  <c r="O10" i="39"/>
  <c r="N31" i="39"/>
  <c r="N138" i="39" s="1"/>
  <c r="M10" i="38"/>
  <c r="C147" i="38"/>
  <c r="C158" i="38"/>
  <c r="M18" i="38"/>
  <c r="M31" i="38"/>
  <c r="C160" i="38"/>
  <c r="M136" i="38"/>
  <c r="O134" i="38"/>
  <c r="K136" i="38"/>
  <c r="J136" i="38"/>
  <c r="I136" i="38"/>
  <c r="H136" i="38"/>
  <c r="G136" i="38"/>
  <c r="F136" i="38"/>
  <c r="E136" i="38"/>
  <c r="D136" i="38"/>
  <c r="O135" i="38"/>
  <c r="L135" i="38"/>
  <c r="N135" i="38"/>
  <c r="N134" i="38"/>
  <c r="L134" i="38"/>
  <c r="O133" i="38"/>
  <c r="L133" i="38"/>
  <c r="N133" i="38"/>
  <c r="N132" i="38"/>
  <c r="L132" i="38"/>
  <c r="O128" i="38"/>
  <c r="L128" i="38"/>
  <c r="N128" i="38"/>
  <c r="N127" i="38"/>
  <c r="L127" i="38"/>
  <c r="O126" i="38"/>
  <c r="L126" i="38"/>
  <c r="N126" i="38"/>
  <c r="C126" i="38"/>
  <c r="L125" i="38"/>
  <c r="N125" i="38"/>
  <c r="N124" i="38"/>
  <c r="L124" i="38"/>
  <c r="L123" i="38"/>
  <c r="N123" i="38"/>
  <c r="N122" i="38"/>
  <c r="L122" i="38"/>
  <c r="L117" i="38"/>
  <c r="N117" i="38"/>
  <c r="N116" i="38"/>
  <c r="L116" i="38"/>
  <c r="L115" i="38"/>
  <c r="N115" i="38"/>
  <c r="N114" i="38"/>
  <c r="L114" i="38"/>
  <c r="L113" i="38"/>
  <c r="N113" i="38"/>
  <c r="O112" i="38"/>
  <c r="N112" i="38"/>
  <c r="L112" i="38"/>
  <c r="L111" i="38"/>
  <c r="N111" i="38"/>
  <c r="N110" i="38"/>
  <c r="L110" i="38"/>
  <c r="L109" i="38"/>
  <c r="N109" i="38"/>
  <c r="O108" i="38"/>
  <c r="N108" i="38"/>
  <c r="L108" i="38"/>
  <c r="O107" i="38"/>
  <c r="L107" i="38"/>
  <c r="N107" i="38"/>
  <c r="C107" i="38"/>
  <c r="C136" i="38"/>
  <c r="L106" i="38"/>
  <c r="N106" i="38"/>
  <c r="N105" i="38"/>
  <c r="L105" i="38"/>
  <c r="L104" i="38"/>
  <c r="N104" i="38"/>
  <c r="N103" i="38"/>
  <c r="L103" i="38"/>
  <c r="O102" i="38"/>
  <c r="L102" i="38"/>
  <c r="N102" i="38"/>
  <c r="N101" i="38"/>
  <c r="L101" i="38"/>
  <c r="O100" i="38"/>
  <c r="L100" i="38"/>
  <c r="N100" i="38"/>
  <c r="N99" i="38"/>
  <c r="L99" i="38"/>
  <c r="O98" i="38"/>
  <c r="L98" i="38"/>
  <c r="N98" i="38"/>
  <c r="N97" i="38"/>
  <c r="L97" i="38"/>
  <c r="O96" i="38"/>
  <c r="L96" i="38"/>
  <c r="N96" i="38"/>
  <c r="N95" i="38"/>
  <c r="L95" i="38"/>
  <c r="L94" i="38"/>
  <c r="N94" i="38"/>
  <c r="N93" i="38"/>
  <c r="L93" i="38"/>
  <c r="L92" i="38"/>
  <c r="N92" i="38"/>
  <c r="O91" i="38"/>
  <c r="N91" i="38"/>
  <c r="L91" i="38"/>
  <c r="L90" i="38"/>
  <c r="N90" i="38"/>
  <c r="N89" i="38"/>
  <c r="L89" i="38"/>
  <c r="L88" i="38"/>
  <c r="N88" i="38"/>
  <c r="N87" i="38"/>
  <c r="L87" i="38"/>
  <c r="L86" i="38"/>
  <c r="N86" i="38"/>
  <c r="O85" i="38"/>
  <c r="N85" i="38"/>
  <c r="L85" i="38"/>
  <c r="L84" i="38"/>
  <c r="N84" i="38"/>
  <c r="O83" i="38"/>
  <c r="N83" i="38"/>
  <c r="L83" i="38"/>
  <c r="L82" i="38"/>
  <c r="N82" i="38"/>
  <c r="O81" i="38"/>
  <c r="N81" i="38"/>
  <c r="L81" i="38"/>
  <c r="L77" i="38"/>
  <c r="N77" i="38"/>
  <c r="N76" i="38"/>
  <c r="L76" i="38"/>
  <c r="L75" i="38"/>
  <c r="N75" i="38"/>
  <c r="N74" i="38"/>
  <c r="L74" i="38"/>
  <c r="L73" i="38"/>
  <c r="N73" i="38"/>
  <c r="N72" i="38"/>
  <c r="L72" i="38"/>
  <c r="L71" i="38"/>
  <c r="N71" i="38"/>
  <c r="N70" i="38"/>
  <c r="L70" i="38"/>
  <c r="L69" i="38"/>
  <c r="N69" i="38"/>
  <c r="N68" i="38"/>
  <c r="L68" i="38"/>
  <c r="L67" i="38"/>
  <c r="N67" i="38"/>
  <c r="O66" i="38"/>
  <c r="N66" i="38"/>
  <c r="L66" i="38"/>
  <c r="L65" i="38"/>
  <c r="N65" i="38"/>
  <c r="O64" i="38"/>
  <c r="N64" i="38"/>
  <c r="L64" i="38"/>
  <c r="L63" i="38"/>
  <c r="N63" i="38"/>
  <c r="O62" i="38"/>
  <c r="N62" i="38"/>
  <c r="L62" i="38"/>
  <c r="N61" i="38"/>
  <c r="L61" i="38"/>
  <c r="N60" i="38"/>
  <c r="L60" i="38"/>
  <c r="L59" i="38"/>
  <c r="N59" i="38"/>
  <c r="N58" i="38"/>
  <c r="L58" i="38"/>
  <c r="L57" i="38"/>
  <c r="N57" i="38"/>
  <c r="O56" i="38"/>
  <c r="N56" i="38"/>
  <c r="L56" i="38"/>
  <c r="L55" i="38"/>
  <c r="N55" i="38"/>
  <c r="O54" i="38"/>
  <c r="N54" i="38"/>
  <c r="L54" i="38"/>
  <c r="L53" i="38"/>
  <c r="N53" i="38"/>
  <c r="N52" i="38"/>
  <c r="L52" i="38"/>
  <c r="L51" i="38"/>
  <c r="N51" i="38"/>
  <c r="N50" i="38"/>
  <c r="L50" i="38"/>
  <c r="L49" i="38"/>
  <c r="N49" i="38"/>
  <c r="O48" i="38"/>
  <c r="N48" i="38"/>
  <c r="L48" i="38"/>
  <c r="L47" i="38"/>
  <c r="N47" i="38"/>
  <c r="O46" i="38"/>
  <c r="N46" i="38"/>
  <c r="L46" i="38"/>
  <c r="L45" i="38"/>
  <c r="N45" i="38"/>
  <c r="O44" i="38"/>
  <c r="N44" i="38"/>
  <c r="L44" i="38"/>
  <c r="O40" i="38"/>
  <c r="L40" i="38"/>
  <c r="N40" i="38"/>
  <c r="N39" i="38"/>
  <c r="L39" i="38"/>
  <c r="O38" i="38"/>
  <c r="L38" i="38"/>
  <c r="N38" i="38"/>
  <c r="N37" i="38"/>
  <c r="L37" i="38"/>
  <c r="L36" i="38"/>
  <c r="N36" i="38"/>
  <c r="N35" i="38"/>
  <c r="L35" i="38"/>
  <c r="L34" i="38"/>
  <c r="N34" i="38"/>
  <c r="N33" i="38"/>
  <c r="L33" i="38"/>
  <c r="L32" i="38"/>
  <c r="N32" i="38"/>
  <c r="N31" i="38"/>
  <c r="L31" i="38"/>
  <c r="L136" i="38"/>
  <c r="M26" i="38"/>
  <c r="O25" i="38"/>
  <c r="K26" i="38"/>
  <c r="J26" i="38"/>
  <c r="I26" i="38"/>
  <c r="H26" i="38"/>
  <c r="G26" i="38"/>
  <c r="F26" i="38"/>
  <c r="E26" i="38"/>
  <c r="D26" i="38"/>
  <c r="C26" i="38"/>
  <c r="C27" i="38"/>
  <c r="N25" i="38"/>
  <c r="L25" i="38"/>
  <c r="L24" i="38"/>
  <c r="N24" i="38"/>
  <c r="N22" i="38"/>
  <c r="L22" i="38"/>
  <c r="L21" i="38"/>
  <c r="N21" i="38"/>
  <c r="N20" i="38"/>
  <c r="L20" i="38"/>
  <c r="O19" i="38"/>
  <c r="L19" i="38"/>
  <c r="N19" i="38"/>
  <c r="N18" i="38"/>
  <c r="L18" i="38"/>
  <c r="O15" i="38"/>
  <c r="L15" i="38"/>
  <c r="N15" i="38"/>
  <c r="N13" i="38"/>
  <c r="L13" i="38"/>
  <c r="O12" i="38"/>
  <c r="L12" i="38"/>
  <c r="N12" i="38"/>
  <c r="L11" i="38"/>
  <c r="L10" i="38"/>
  <c r="N10" i="38"/>
  <c r="O21" i="38"/>
  <c r="O24" i="38"/>
  <c r="O10" i="38"/>
  <c r="O75" i="38"/>
  <c r="O77" i="38"/>
  <c r="O103" i="38"/>
  <c r="O116" i="38"/>
  <c r="O32" i="38"/>
  <c r="O34" i="38"/>
  <c r="O49" i="38"/>
  <c r="O51" i="38"/>
  <c r="O53" i="38"/>
  <c r="O67" i="38"/>
  <c r="O69" i="38"/>
  <c r="O71" i="38"/>
  <c r="O86" i="38"/>
  <c r="O88" i="38"/>
  <c r="O90" i="38"/>
  <c r="O104" i="38"/>
  <c r="O106" i="38"/>
  <c r="O109" i="38"/>
  <c r="O111" i="38"/>
  <c r="O117" i="38"/>
  <c r="O123" i="38"/>
  <c r="O125" i="38"/>
  <c r="O35" i="38"/>
  <c r="O37" i="38"/>
  <c r="O57" i="38"/>
  <c r="O59" i="38"/>
  <c r="O72" i="38"/>
  <c r="O74" i="38"/>
  <c r="O33" i="38"/>
  <c r="O45" i="38"/>
  <c r="O52" i="38"/>
  <c r="O63" i="38"/>
  <c r="O70" i="38"/>
  <c r="O82" i="38"/>
  <c r="O89" i="38"/>
  <c r="O95" i="38"/>
  <c r="O31" i="38"/>
  <c r="O36" i="38"/>
  <c r="O39" i="38"/>
  <c r="O47" i="38"/>
  <c r="O50" i="38"/>
  <c r="O55" i="38"/>
  <c r="O58" i="38"/>
  <c r="O65" i="38"/>
  <c r="O68" i="38"/>
  <c r="O73" i="38"/>
  <c r="O76" i="38"/>
  <c r="O84" i="38"/>
  <c r="O87" i="38"/>
  <c r="O92" i="38"/>
  <c r="O94" i="38"/>
  <c r="O99" i="38"/>
  <c r="O113" i="38"/>
  <c r="O115" i="38"/>
  <c r="O124" i="38"/>
  <c r="O132" i="38"/>
  <c r="C149" i="38"/>
  <c r="N26" i="38"/>
  <c r="N136" i="38"/>
  <c r="O18" i="38"/>
  <c r="O22" i="38"/>
  <c r="L26" i="38"/>
  <c r="O93" i="38"/>
  <c r="O97" i="38"/>
  <c r="O101" i="38"/>
  <c r="O105" i="38"/>
  <c r="O110" i="38"/>
  <c r="O114" i="38"/>
  <c r="O122" i="38"/>
  <c r="O127" i="38"/>
  <c r="C148" i="38"/>
  <c r="O13" i="38"/>
  <c r="O20" i="38"/>
  <c r="M26" i="37"/>
  <c r="C160" i="37"/>
  <c r="M136" i="37"/>
  <c r="C150" i="38"/>
  <c r="C165" i="38"/>
  <c r="C158" i="37"/>
  <c r="C149" i="37"/>
  <c r="C148" i="37"/>
  <c r="C150" i="37"/>
  <c r="C165" i="37"/>
  <c r="C163" i="38"/>
  <c r="C163" i="37"/>
  <c r="C126" i="37"/>
  <c r="C107" i="37"/>
  <c r="O134" i="37"/>
  <c r="K136" i="37"/>
  <c r="J136" i="37"/>
  <c r="I136" i="37"/>
  <c r="H136" i="37"/>
  <c r="G136" i="37"/>
  <c r="E136" i="37"/>
  <c r="C136" i="37"/>
  <c r="L135" i="37"/>
  <c r="N135" i="37"/>
  <c r="L134" i="37"/>
  <c r="N134" i="37"/>
  <c r="L133" i="37"/>
  <c r="N133" i="37"/>
  <c r="L132" i="37"/>
  <c r="N132" i="37"/>
  <c r="L128" i="37"/>
  <c r="N128" i="37"/>
  <c r="L127" i="37"/>
  <c r="N127" i="37"/>
  <c r="L126" i="37"/>
  <c r="N126" i="37"/>
  <c r="N125" i="37"/>
  <c r="L125" i="37"/>
  <c r="O124" i="37"/>
  <c r="L124" i="37"/>
  <c r="N124" i="37"/>
  <c r="L123" i="37"/>
  <c r="N123" i="37"/>
  <c r="L122" i="37"/>
  <c r="N122" i="37"/>
  <c r="L117" i="37"/>
  <c r="N117" i="37"/>
  <c r="L116" i="37"/>
  <c r="N116" i="37"/>
  <c r="O115" i="37"/>
  <c r="N115" i="37"/>
  <c r="L115" i="37"/>
  <c r="N114" i="37"/>
  <c r="L114" i="37"/>
  <c r="L113" i="37"/>
  <c r="N113" i="37"/>
  <c r="L112" i="37"/>
  <c r="N112" i="37"/>
  <c r="L111" i="37"/>
  <c r="N111" i="37"/>
  <c r="L110" i="37"/>
  <c r="N110" i="37"/>
  <c r="L109" i="37"/>
  <c r="N109" i="37"/>
  <c r="L108" i="37"/>
  <c r="N108" i="37"/>
  <c r="L107" i="37"/>
  <c r="N107" i="37"/>
  <c r="L106" i="37"/>
  <c r="N106" i="37"/>
  <c r="L105" i="37"/>
  <c r="N105" i="37"/>
  <c r="L104" i="37"/>
  <c r="N104" i="37"/>
  <c r="L103" i="37"/>
  <c r="N103" i="37"/>
  <c r="L102" i="37"/>
  <c r="N102" i="37"/>
  <c r="L101" i="37"/>
  <c r="N101" i="37"/>
  <c r="L100" i="37"/>
  <c r="N100" i="37"/>
  <c r="L99" i="37"/>
  <c r="N99" i="37"/>
  <c r="L98" i="37"/>
  <c r="N98" i="37"/>
  <c r="L97" i="37"/>
  <c r="N97" i="37"/>
  <c r="L96" i="37"/>
  <c r="N96" i="37"/>
  <c r="L95" i="37"/>
  <c r="N95" i="37"/>
  <c r="L94" i="37"/>
  <c r="N94" i="37"/>
  <c r="L93" i="37"/>
  <c r="N93" i="37"/>
  <c r="L92" i="37"/>
  <c r="N92" i="37"/>
  <c r="L91" i="37"/>
  <c r="N91" i="37"/>
  <c r="L90" i="37"/>
  <c r="N90" i="37"/>
  <c r="L89" i="37"/>
  <c r="N89" i="37"/>
  <c r="L88" i="37"/>
  <c r="N88" i="37"/>
  <c r="L87" i="37"/>
  <c r="N87" i="37"/>
  <c r="O86" i="37"/>
  <c r="L86" i="37"/>
  <c r="N86" i="37"/>
  <c r="L85" i="37"/>
  <c r="N85" i="37"/>
  <c r="L84" i="37"/>
  <c r="N84" i="37"/>
  <c r="L83" i="37"/>
  <c r="N83" i="37"/>
  <c r="L82" i="37"/>
  <c r="N82" i="37"/>
  <c r="N81" i="37"/>
  <c r="L81" i="37"/>
  <c r="L77" i="37"/>
  <c r="N77" i="37"/>
  <c r="F136" i="37"/>
  <c r="L76" i="37"/>
  <c r="N76" i="37"/>
  <c r="L75" i="37"/>
  <c r="N75" i="37"/>
  <c r="L74" i="37"/>
  <c r="N74" i="37"/>
  <c r="O73" i="37"/>
  <c r="N73" i="37"/>
  <c r="L73" i="37"/>
  <c r="N72" i="37"/>
  <c r="L72" i="37"/>
  <c r="L71" i="37"/>
  <c r="N71" i="37"/>
  <c r="L70" i="37"/>
  <c r="N70" i="37"/>
  <c r="L69" i="37"/>
  <c r="N69" i="37"/>
  <c r="O68" i="37"/>
  <c r="N68" i="37"/>
  <c r="L68" i="37"/>
  <c r="L67" i="37"/>
  <c r="N67" i="37"/>
  <c r="O66" i="37"/>
  <c r="L66" i="37"/>
  <c r="N66" i="37"/>
  <c r="L65" i="37"/>
  <c r="N65" i="37"/>
  <c r="L64" i="37"/>
  <c r="N64" i="37"/>
  <c r="L63" i="37"/>
  <c r="N63" i="37"/>
  <c r="L62" i="37"/>
  <c r="N62" i="37"/>
  <c r="L61" i="37"/>
  <c r="N61" i="37"/>
  <c r="L60" i="37"/>
  <c r="N60" i="37"/>
  <c r="L59" i="37"/>
  <c r="N59" i="37"/>
  <c r="L58" i="37"/>
  <c r="N58" i="37"/>
  <c r="L57" i="37"/>
  <c r="N57" i="37"/>
  <c r="L56" i="37"/>
  <c r="N56" i="37"/>
  <c r="L55" i="37"/>
  <c r="N55" i="37"/>
  <c r="L54" i="37"/>
  <c r="N54" i="37"/>
  <c r="L53" i="37"/>
  <c r="N53" i="37"/>
  <c r="L52" i="37"/>
  <c r="N52" i="37"/>
  <c r="O51" i="37"/>
  <c r="L51" i="37"/>
  <c r="N51" i="37"/>
  <c r="N50" i="37"/>
  <c r="L50" i="37"/>
  <c r="L49" i="37"/>
  <c r="N49" i="37"/>
  <c r="O48" i="37"/>
  <c r="L48" i="37"/>
  <c r="N48" i="37"/>
  <c r="L47" i="37"/>
  <c r="N47" i="37"/>
  <c r="O46" i="37"/>
  <c r="L46" i="37"/>
  <c r="N46" i="37"/>
  <c r="O45" i="37"/>
  <c r="L45" i="37"/>
  <c r="N45" i="37"/>
  <c r="L44" i="37"/>
  <c r="N44" i="37"/>
  <c r="O40" i="37"/>
  <c r="N40" i="37"/>
  <c r="L40" i="37"/>
  <c r="N39" i="37"/>
  <c r="L39" i="37"/>
  <c r="L38" i="37"/>
  <c r="N38" i="37"/>
  <c r="O37" i="37"/>
  <c r="L37" i="37"/>
  <c r="N37" i="37"/>
  <c r="L36" i="37"/>
  <c r="N36" i="37"/>
  <c r="O35" i="37"/>
  <c r="L35" i="37"/>
  <c r="N35" i="37"/>
  <c r="O34" i="37"/>
  <c r="L34" i="37"/>
  <c r="L33" i="37"/>
  <c r="N33" i="37"/>
  <c r="O32" i="37"/>
  <c r="L32" i="37"/>
  <c r="N32" i="37"/>
  <c r="N31" i="37"/>
  <c r="L31" i="37"/>
  <c r="K26" i="37"/>
  <c r="J26" i="37"/>
  <c r="I26" i="37"/>
  <c r="H26" i="37"/>
  <c r="G26" i="37"/>
  <c r="F26" i="37"/>
  <c r="E26" i="37"/>
  <c r="D26" i="37"/>
  <c r="C26" i="37"/>
  <c r="C27" i="37"/>
  <c r="L25" i="37"/>
  <c r="N25" i="37"/>
  <c r="L24" i="37"/>
  <c r="N24" i="37"/>
  <c r="L22" i="37"/>
  <c r="N22" i="37"/>
  <c r="L21" i="37"/>
  <c r="N21" i="37"/>
  <c r="L20" i="37"/>
  <c r="L19" i="37"/>
  <c r="N19" i="37"/>
  <c r="L18" i="37"/>
  <c r="L15" i="37"/>
  <c r="N15" i="37"/>
  <c r="L13" i="37"/>
  <c r="N13" i="37"/>
  <c r="L12" i="37"/>
  <c r="N12" i="37"/>
  <c r="L11" i="37"/>
  <c r="L10" i="37"/>
  <c r="N10" i="37"/>
  <c r="O31" i="37"/>
  <c r="O39" i="37"/>
  <c r="O50" i="37"/>
  <c r="O55" i="37"/>
  <c r="O70" i="37"/>
  <c r="O72" i="37"/>
  <c r="O81" i="37"/>
  <c r="O90" i="37"/>
  <c r="O114" i="37"/>
  <c r="O125" i="37"/>
  <c r="N18" i="37"/>
  <c r="N20" i="37"/>
  <c r="O33" i="37"/>
  <c r="O36" i="37"/>
  <c r="O38" i="37"/>
  <c r="O44" i="37"/>
  <c r="O47" i="37"/>
  <c r="O49" i="37"/>
  <c r="O52" i="37"/>
  <c r="O54" i="37"/>
  <c r="O59" i="37"/>
  <c r="O65" i="37"/>
  <c r="O74" i="37"/>
  <c r="O76" i="37"/>
  <c r="O77" i="37"/>
  <c r="O85" i="37"/>
  <c r="O89" i="37"/>
  <c r="O94" i="37"/>
  <c r="O98" i="37"/>
  <c r="O102" i="37"/>
  <c r="O106" i="37"/>
  <c r="O110" i="37"/>
  <c r="O133" i="37"/>
  <c r="O56" i="37"/>
  <c r="O58" i="37"/>
  <c r="O62" i="37"/>
  <c r="O64" i="37"/>
  <c r="O69" i="37"/>
  <c r="O82" i="37"/>
  <c r="O84" i="37"/>
  <c r="O91" i="37"/>
  <c r="O93" i="37"/>
  <c r="O97" i="37"/>
  <c r="O101" i="37"/>
  <c r="O105" i="37"/>
  <c r="O109" i="37"/>
  <c r="O123" i="37"/>
  <c r="O132" i="37"/>
  <c r="L136" i="37"/>
  <c r="L26" i="37"/>
  <c r="O22" i="37"/>
  <c r="D136" i="37"/>
  <c r="N34" i="37"/>
  <c r="N136" i="37"/>
  <c r="O53" i="37"/>
  <c r="O57" i="37"/>
  <c r="O63" i="37"/>
  <c r="O67" i="37"/>
  <c r="O71" i="37"/>
  <c r="O75" i="37"/>
  <c r="O83" i="37"/>
  <c r="O87" i="37"/>
  <c r="O88" i="37"/>
  <c r="O92" i="37"/>
  <c r="O96" i="37"/>
  <c r="O100" i="37"/>
  <c r="O104" i="37"/>
  <c r="O108" i="37"/>
  <c r="O112" i="37"/>
  <c r="O113" i="37"/>
  <c r="O117" i="37"/>
  <c r="O122" i="37"/>
  <c r="O128" i="37"/>
  <c r="O135" i="37"/>
  <c r="O95" i="37"/>
  <c r="O99" i="37"/>
  <c r="O103" i="37"/>
  <c r="O107" i="37"/>
  <c r="O111" i="37"/>
  <c r="O116" i="37"/>
  <c r="O126" i="37"/>
  <c r="O127" i="37"/>
  <c r="N26" i="37"/>
  <c r="O12" i="37"/>
  <c r="O21" i="37"/>
  <c r="O18" i="37"/>
  <c r="O24" i="37"/>
  <c r="O13" i="37"/>
  <c r="O10" i="37"/>
  <c r="O20" i="37"/>
  <c r="O19" i="37"/>
  <c r="O25" i="37"/>
  <c r="O15" i="37"/>
  <c r="O24" i="39" l="1"/>
  <c r="O19" i="39"/>
  <c r="O20" i="39"/>
  <c r="O22" i="39"/>
  <c r="C154" i="39"/>
  <c r="O25" i="39"/>
  <c r="O12" i="39"/>
  <c r="O18" i="39"/>
  <c r="O21" i="39"/>
  <c r="O13" i="39"/>
  <c r="O15" i="39"/>
  <c r="C167" i="39" l="1"/>
  <c r="C169" i="39"/>
</calcChain>
</file>

<file path=xl/sharedStrings.xml><?xml version="1.0" encoding="utf-8"?>
<sst xmlns="http://schemas.openxmlformats.org/spreadsheetml/2006/main" count="3214" uniqueCount="284">
  <si>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</si>
  <si>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</si>
  <si>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</si>
  <si>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</si>
  <si>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</si>
  <si>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</si>
  <si>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</si>
  <si>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</si>
  <si>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</si>
  <si>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</si>
  <si>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</si>
  <si>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</si>
  <si>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</si>
  <si>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</si>
  <si>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</si>
  <si>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</si>
  <si>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</si>
  <si>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Modificación III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</si>
  <si>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</si>
  <si>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</si>
  <si>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</si>
  <si>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</si>
  <si>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</si>
  <si>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</si>
  <si>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</si>
  <si>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</si>
  <si>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</si>
  <si>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</si>
  <si>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</si>
  <si>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</si>
  <si>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</si>
  <si>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</si>
  <si>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</si>
  <si>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</si>
  <si>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</si>
  <si>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</si>
  <si>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</si>
  <si>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</si>
  <si>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</si>
  <si>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</si>
  <si>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</si>
  <si>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</si>
  <si>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</si>
  <si>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</si>
  <si>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</si>
  <si>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</si>
  <si>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</si>
  <si>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</si>
  <si>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</si>
  <si>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</si>
  <si>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</si>
  <si>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</si>
  <si>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</si>
  <si>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</si>
  <si>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</si>
  <si>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</si>
  <si>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</si>
  <si>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</si>
  <si>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</si>
  <si>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</si>
  <si>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</si>
  <si>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</si>
  <si>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</si>
  <si>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</si>
  <si>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</si>
  <si>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</si>
  <si>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</si>
  <si>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</si>
  <si>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</si>
  <si>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</si>
  <si>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</si>
  <si>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</si>
  <si>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</si>
  <si>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</si>
  <si>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</si>
  <si>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</si>
  <si>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</si>
  <si>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</si>
  <si>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</si>
  <si>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</si>
  <si>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</si>
  <si>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</si>
  <si>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</si>
  <si>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</si>
  <si>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</si>
  <si>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</si>
  <si>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</si>
  <si>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</si>
  <si>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</si>
  <si>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</si>
  <si>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PRESIDENTE</t>
  </si>
  <si>
    <t xml:space="preserve">TESORERO                       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</si>
  <si>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</si>
  <si>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</si>
  <si>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</si>
  <si>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</si>
  <si>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</si>
  <si>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</si>
  <si>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</si>
  <si>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</si>
  <si>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</si>
  <si>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</si>
  <si>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</si>
  <si>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</si>
  <si>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</si>
  <si>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</si>
  <si>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</si>
  <si>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</si>
  <si>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</si>
  <si>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</si>
  <si>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</si>
  <si>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</si>
  <si>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</si>
  <si>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</si>
  <si>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</si>
  <si>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</si>
  <si>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</si>
  <si>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</si>
  <si>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</si>
  <si>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</si>
  <si>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</si>
  <si>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</si>
  <si>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</si>
  <si>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</si>
  <si>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</si>
  <si>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</si>
  <si>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</si>
  <si>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</si>
  <si>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</si>
  <si>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</si>
  <si>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</si>
  <si>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</si>
  <si>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</si>
  <si>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</si>
  <si>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</si>
  <si>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</si>
  <si>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</si>
  <si>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</si>
  <si>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</si>
  <si>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</si>
  <si>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</si>
  <si>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</si>
  <si>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</si>
  <si>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</si>
  <si>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</si>
  <si>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</si>
  <si>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</si>
  <si>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</si>
  <si>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</si>
  <si>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 xml:space="preserve">Descuento Fianza de Fidelidad sueldos </t>
  </si>
  <si>
    <t>ISR Retenido Actividades Lucrativas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</si>
  <si>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</si>
  <si>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</si>
  <si>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</si>
  <si>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</si>
  <si>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</si>
  <si>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</si>
  <si>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</si>
  <si>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</si>
  <si>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</si>
  <si>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</si>
  <si>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</si>
  <si>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</si>
  <si>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</si>
  <si>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</si>
  <si>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</si>
  <si>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</si>
  <si>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</si>
  <si>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</si>
  <si>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</si>
  <si>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</si>
  <si>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</si>
  <si>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</si>
  <si>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</si>
  <si>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</si>
  <si>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</si>
  <si>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</si>
  <si>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</si>
  <si>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</si>
  <si>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</si>
  <si>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</si>
  <si>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</si>
  <si>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</si>
  <si>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</si>
  <si>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</si>
  <si>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</si>
  <si>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</si>
  <si>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</si>
  <si>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</si>
  <si>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</si>
  <si>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</si>
  <si>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</si>
  <si>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</si>
  <si>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</si>
  <si>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</si>
  <si>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</si>
  <si>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</si>
  <si>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</si>
  <si>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</si>
  <si>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</si>
  <si>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</si>
  <si>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</si>
  <si>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</si>
  <si>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</si>
  <si>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</si>
  <si>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</si>
  <si>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</si>
  <si>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</si>
  <si>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</si>
  <si>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</si>
  <si>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</si>
  <si>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</si>
  <si>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</si>
  <si>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</si>
  <si>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</si>
  <si>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</si>
  <si>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</si>
  <si>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</si>
  <si>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</si>
  <si>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</si>
  <si>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</si>
  <si>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</si>
  <si>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</si>
  <si>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</si>
  <si>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</si>
  <si>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</si>
  <si>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</si>
  <si>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</si>
  <si>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</si>
  <si>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</si>
  <si>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</si>
  <si>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MARCO ANTONIO GÓMEZ ESTRADA</t>
  </si>
  <si>
    <t>Aporte de Entidades Descentralizadas y Autónomas</t>
  </si>
  <si>
    <t>16</t>
  </si>
  <si>
    <t>TRANSFERENCIAS CORRIENTES</t>
  </si>
  <si>
    <t>16.2.20</t>
  </si>
  <si>
    <t>Por Depósitos (cuentas bancarias)</t>
  </si>
  <si>
    <t>Descuento Judicial Embargo Precautorio Toribio Del Cid</t>
  </si>
  <si>
    <t>Equipo de computación</t>
  </si>
  <si>
    <t>Servicios Médico - Sanitarios</t>
  </si>
  <si>
    <t>ELMER ARTURO VENTURA</t>
  </si>
  <si>
    <t xml:space="preserve">Mantenimiento y Reparación de Otras Maquinaria </t>
  </si>
  <si>
    <t>ING. JORGE AUGUSTO CONTRERAS ROLDÁN</t>
  </si>
  <si>
    <t>Modificación IV</t>
  </si>
  <si>
    <t>SALDO EN CAJA AL 31 DE DICIEMBRE DE 2020</t>
  </si>
  <si>
    <t>Saldo en Caja al 31 de Diciembre de 2020</t>
  </si>
  <si>
    <t>Implementos Deportivos</t>
  </si>
  <si>
    <t>Reembolso a Comité Olimpico Fondos 2021</t>
  </si>
  <si>
    <t>EJECUCION</t>
  </si>
  <si>
    <t xml:space="preserve">Descuento Boleto de ornato </t>
  </si>
  <si>
    <t>Rentas Consignadas Diciembre 2020</t>
  </si>
  <si>
    <t>SALDO EN CAJA AL 31 DE ENERO DE 2021</t>
  </si>
  <si>
    <t xml:space="preserve">                COORDINADOR ADMINISTRATIVO FINANCIERO</t>
  </si>
  <si>
    <t>DEL 01 DE ENERO AL 31 DE ENERO 2021</t>
  </si>
  <si>
    <t>DEL 01 DE ENERO AL 28 DE FEBRERO 2021</t>
  </si>
  <si>
    <t>SALDO EN CAJA AL 28 DE FEBRERO DE 2021</t>
  </si>
  <si>
    <t>Reembolso a Comité Olimpico Fondos 2020</t>
  </si>
  <si>
    <t>O29</t>
  </si>
  <si>
    <t>Otras remuneraciones de Personal Temporal</t>
  </si>
  <si>
    <t>Arrendamiento de Edificios y locales</t>
  </si>
  <si>
    <t>DEL 01 DE ENERO AL 31 DE MARZO 2021</t>
  </si>
  <si>
    <t>SALDO EN CAJA AL 31 DE MARZO DE 2021</t>
  </si>
  <si>
    <t>Rentas Consignadas Diciembre 2021</t>
  </si>
  <si>
    <t>Reembolso periodos anteriores</t>
  </si>
  <si>
    <t>DEL 01 DE ENERO AL 30 DE ABRIL 2021</t>
  </si>
  <si>
    <t>SALDO EN CAJA AL 30 DE ABRIL DE 2021</t>
  </si>
  <si>
    <t>DEL 01 DE ENERO AL 31 DE MAYO 2021</t>
  </si>
  <si>
    <t>SALDO EN CAJA AL 31 DE MAYO DE 2021</t>
  </si>
  <si>
    <t>DEL 01 DE ENERO AL 30 DE JUNIO 2021</t>
  </si>
  <si>
    <t>SALDO EN CAJA AL 30 DE JUNIO DE 2021</t>
  </si>
  <si>
    <t>DEL 01 DE ENERO AL 31 DE JULIO 2021</t>
  </si>
  <si>
    <t>SALDO EN CAJA AL 31 DE JULIO DE 2021</t>
  </si>
  <si>
    <t>SALDO EN CAJA AL 31 DE AGOSTO DE 2021</t>
  </si>
  <si>
    <t>DEL 01 DE ENERO AL 31 DE AGOSTO 2021</t>
  </si>
  <si>
    <t>DEL 01 DE ENERO AL 30 DE SEPTIEMBRE 2021</t>
  </si>
  <si>
    <t>SALDO EN CAJA AL 30 DE SEPTIEMBRE DE 2021</t>
  </si>
  <si>
    <t>DEL 01 DE ENERO AL 31 DE OCTUBRE 2021</t>
  </si>
  <si>
    <t>SALDO EN CAJA AL 31 DE OCTUBRE DE 2021</t>
  </si>
  <si>
    <t>DEL 01 DE ENERO AL 30 DE NOVIEMBRE 2021</t>
  </si>
  <si>
    <t>SALDO EN CAJA AL 30 DE NOVIEMBRE DE 2021</t>
  </si>
  <si>
    <t>DIANA BEATRIZ CALDERON VASQUEZ</t>
  </si>
  <si>
    <t>GERENTE</t>
  </si>
  <si>
    <t>DEL 01 DE ENERO AL 31 DE DICIEMBRE 2021</t>
  </si>
  <si>
    <t>SALDO EN CAJA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</si>
</sst>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21">
    <xf numFmtId="0" fontId="0" fillId="0" borderId="0" xfId="0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43" fontId="3" fillId="0" borderId="4" xfId="0" applyNumberFormat="1" applyFont="1" applyFill="1" applyBorder="1" applyAlignment="1">
      <alignment horizontal="centerContinuous"/>
    </xf>
    <xf numFmtId="43" fontId="4" fillId="0" borderId="0" xfId="0" applyNumberFormat="1" applyFont="1" applyFill="1"/>
    <xf numFmtId="0" fontId="3" fillId="0" borderId="14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3" fontId="3" fillId="0" borderId="15" xfId="0" applyNumberFormat="1" applyFont="1" applyFill="1" applyBorder="1" applyAlignment="1">
      <alignment horizontal="centerContinuous"/>
    </xf>
    <xf numFmtId="0" fontId="4" fillId="0" borderId="5" xfId="0" applyFont="1" applyFill="1" applyBorder="1"/>
    <xf numFmtId="0" fontId="4" fillId="0" borderId="6" xfId="0" applyFont="1" applyFill="1" applyBorder="1"/>
    <xf numFmtId="43" fontId="4" fillId="0" borderId="7" xfId="0" applyNumberFormat="1" applyFont="1" applyFill="1" applyBorder="1"/>
    <xf numFmtId="0" fontId="4" fillId="0" borderId="0" xfId="0" applyFont="1" applyFill="1"/>
    <xf numFmtId="43" fontId="10" fillId="0" borderId="0" xfId="0" applyNumberFormat="1" applyFont="1" applyFill="1"/>
    <xf numFmtId="0" fontId="4" fillId="0" borderId="0" xfId="0" applyFont="1" applyFill="1" applyAlignment="1">
      <alignment horizontal="left" indent="7"/>
    </xf>
    <xf numFmtId="164" fontId="11" fillId="0" borderId="0" xfId="1" applyFont="1" applyFill="1"/>
    <xf numFmtId="164" fontId="4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/>
    <xf numFmtId="164" fontId="5" fillId="0" borderId="11" xfId="1" applyFont="1" applyFill="1" applyBorder="1"/>
    <xf numFmtId="0" fontId="5" fillId="0" borderId="11" xfId="0" applyFont="1" applyFill="1" applyBorder="1"/>
    <xf numFmtId="0" fontId="3" fillId="0" borderId="12" xfId="0" applyFont="1" applyFill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164" fontId="6" fillId="0" borderId="13" xfId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4" fontId="5" fillId="0" borderId="1" xfId="1" applyFont="1" applyFill="1" applyBorder="1"/>
    <xf numFmtId="0" fontId="4" fillId="0" borderId="11" xfId="0" applyFont="1" applyFill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Fill="1" applyBorder="1" applyAlignment="1">
      <alignment horizontal="left" indent="2"/>
    </xf>
    <xf numFmtId="0" fontId="7" fillId="0" borderId="12" xfId="0" applyFont="1" applyFill="1" applyBorder="1"/>
    <xf numFmtId="0" fontId="4" fillId="0" borderId="12" xfId="0" applyFont="1" applyFill="1" applyBorder="1" applyAlignment="1">
      <alignment horizontal="left" indent="2"/>
    </xf>
    <xf numFmtId="0" fontId="8" fillId="0" borderId="12" xfId="0" applyFont="1" applyFill="1" applyBorder="1" applyAlignment="1">
      <alignment horizontal="left" indent="2"/>
    </xf>
    <xf numFmtId="0" fontId="8" fillId="0" borderId="12" xfId="0" applyFont="1" applyFill="1" applyBorder="1"/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Fill="1" applyAlignment="1">
      <alignment horizontal="left" indent="2"/>
    </xf>
    <xf numFmtId="43" fontId="2" fillId="0" borderId="0" xfId="0" applyNumberFormat="1" applyFont="1" applyFill="1"/>
    <xf numFmtId="0" fontId="8" fillId="0" borderId="2" xfId="0" applyFont="1" applyFill="1" applyBorder="1"/>
    <xf numFmtId="0" fontId="8" fillId="0" borderId="3" xfId="0" applyFont="1" applyFill="1" applyBorder="1"/>
    <xf numFmtId="164" fontId="8" fillId="0" borderId="4" xfId="0" applyNumberFormat="1" applyFont="1" applyFill="1" applyBorder="1"/>
    <xf numFmtId="0" fontId="12" fillId="0" borderId="14" xfId="0" applyFont="1" applyFill="1" applyBorder="1" applyAlignment="1">
      <alignment horizontal="left" indent="1"/>
    </xf>
    <xf numFmtId="0" fontId="8" fillId="0" borderId="0" xfId="0" applyFont="1" applyFill="1" applyBorder="1"/>
    <xf numFmtId="164" fontId="8" fillId="0" borderId="15" xfId="0" applyNumberFormat="1" applyFont="1" applyFill="1" applyBorder="1"/>
    <xf numFmtId="0" fontId="8" fillId="0" borderId="14" xfId="0" applyFont="1" applyFill="1" applyBorder="1" applyAlignment="1">
      <alignment horizontal="left" indent="1"/>
    </xf>
    <xf numFmtId="0" fontId="13" fillId="0" borderId="14" xfId="0" applyFont="1" applyFill="1" applyBorder="1" applyAlignment="1">
      <alignment horizontal="left" indent="1"/>
    </xf>
    <xf numFmtId="0" fontId="13" fillId="0" borderId="0" xfId="0" applyFont="1" applyFill="1" applyBorder="1"/>
    <xf numFmtId="0" fontId="13" fillId="0" borderId="5" xfId="0" applyFont="1" applyFill="1" applyBorder="1" applyAlignment="1">
      <alignment horizontal="left" indent="1"/>
    </xf>
    <xf numFmtId="0" fontId="13" fillId="0" borderId="6" xfId="0" applyFont="1" applyFill="1" applyBorder="1"/>
    <xf numFmtId="0" fontId="8" fillId="0" borderId="0" xfId="0" applyFont="1" applyFill="1"/>
    <xf numFmtId="43" fontId="16" fillId="0" borderId="0" xfId="0" applyNumberFormat="1" applyFont="1" applyFill="1"/>
    <xf numFmtId="164" fontId="4" fillId="0" borderId="0" xfId="1" applyFont="1" applyFill="1"/>
    <xf numFmtId="0" fontId="13" fillId="0" borderId="0" xfId="0" applyFont="1" applyFill="1" applyAlignment="1">
      <alignment horizontal="centerContinuous"/>
    </xf>
    <xf numFmtId="0" fontId="13" fillId="0" borderId="0" xfId="0" applyFont="1" applyFill="1"/>
    <xf numFmtId="0" fontId="13" fillId="0" borderId="1" xfId="0" applyFont="1" applyFill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4" fillId="0" borderId="1" xfId="1" applyFont="1" applyFill="1" applyBorder="1"/>
    <xf numFmtId="43" fontId="17" fillId="0" borderId="0" xfId="0" applyNumberFormat="1" applyFont="1" applyFill="1"/>
    <xf numFmtId="43" fontId="8" fillId="0" borderId="0" xfId="0" applyNumberFormat="1" applyFont="1" applyFill="1"/>
    <xf numFmtId="164" fontId="8" fillId="0" borderId="0" xfId="1" applyFont="1" applyFill="1"/>
    <xf numFmtId="164" fontId="14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4" fillId="0" borderId="15" xfId="1" applyFont="1" applyFill="1" applyBorder="1"/>
    <xf numFmtId="164" fontId="14" fillId="0" borderId="16" xfId="1" applyFont="1" applyFill="1" applyBorder="1"/>
    <xf numFmtId="0" fontId="13" fillId="0" borderId="9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7"/>
    </xf>
    <xf numFmtId="0" fontId="4" fillId="0" borderId="3" xfId="0" applyFont="1" applyFill="1" applyBorder="1"/>
    <xf numFmtId="164" fontId="15" fillId="0" borderId="3" xfId="0" applyNumberFormat="1" applyFont="1" applyFill="1" applyBorder="1"/>
    <xf numFmtId="0" fontId="4" fillId="0" borderId="0" xfId="0" applyFont="1" applyFill="1" applyBorder="1"/>
    <xf numFmtId="164" fontId="6" fillId="0" borderId="3" xfId="1" applyFont="1" applyFill="1" applyBorder="1"/>
    <xf numFmtId="164" fontId="18" fillId="0" borderId="12" xfId="1" applyFont="1" applyFill="1" applyBorder="1"/>
    <xf numFmtId="43" fontId="4" fillId="0" borderId="14" xfId="0" applyNumberFormat="1" applyFont="1" applyFill="1" applyBorder="1"/>
    <xf numFmtId="43" fontId="4" fillId="0" borderId="0" xfId="0" applyNumberFormat="1" applyFont="1" applyFill="1" applyBorder="1"/>
    <xf numFmtId="164" fontId="9" fillId="0" borderId="14" xfId="1" applyFont="1" applyFill="1" applyBorder="1"/>
    <xf numFmtId="164" fontId="19" fillId="0" borderId="14" xfId="1" applyFont="1" applyFill="1" applyBorder="1"/>
    <xf numFmtId="43" fontId="20" fillId="0" borderId="0" xfId="0" applyNumberFormat="1" applyFont="1" applyFill="1" applyBorder="1"/>
    <xf numFmtId="0" fontId="8" fillId="0" borderId="0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left" indent="2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4" fillId="0" borderId="0" xfId="0" applyFont="1" applyFill="1" applyAlignment="1"/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00"/>
      <color rgb="FF6666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opLeftCell="A163" zoomScaleNormal="100" workbookViewId="0">
      <selection activeCell="B177" sqref="B177:I178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253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23" t="s">
        <v>13</v>
      </c>
      <c r="J7" s="66" t="s">
        <v>12</v>
      </c>
      <c r="K7" s="78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10600</v>
      </c>
      <c r="N10" s="30">
        <f t="shared" ref="N10:N22" si="1">L10-M10</f>
        <v>22400</v>
      </c>
      <c r="O10" s="29">
        <f>M10/$M$26</f>
        <v>4.2375945718172534E-2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/>
      <c r="N12" s="30">
        <f t="shared" si="1"/>
        <v>25000</v>
      </c>
      <c r="O12" s="29">
        <f>M12/$M$26</f>
        <v>0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/>
      <c r="N15" s="30">
        <f t="shared" si="1"/>
        <v>3300</v>
      </c>
      <c r="O15" s="29">
        <f>M15/$M$26</f>
        <v>0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3328145.92</v>
      </c>
      <c r="M18" s="30">
        <v>239541.91</v>
      </c>
      <c r="N18" s="30">
        <f t="shared" si="1"/>
        <v>3088604.01</v>
      </c>
      <c r="O18" s="29">
        <f>M18/$M$26</f>
        <v>0.95762405428182751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/>
      <c r="N20" s="30">
        <f t="shared" si="1"/>
        <v>3193908.21</v>
      </c>
      <c r="O20" s="29">
        <f>M20/$M$26</f>
        <v>0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/>
      <c r="N22" s="30">
        <f t="shared" si="1"/>
        <v>239501.9</v>
      </c>
      <c r="O22" s="29">
        <f>M22/$M$26</f>
        <v>0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250141.91</v>
      </c>
      <c r="N26" s="36">
        <f t="shared" si="2"/>
        <v>7579728.6299999999</v>
      </c>
      <c r="O26" s="29"/>
    </row>
    <row r="27" spans="1:15" ht="15.95" customHeight="1" x14ac:dyDescent="0.2">
      <c r="A27" s="37"/>
      <c r="B27" s="37"/>
      <c r="C27" s="38">
        <f>6416776.61-C26</f>
        <v>-1413093.9299999997</v>
      </c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59446</v>
      </c>
      <c r="N31" s="30">
        <f t="shared" ref="N31:N97" si="3">L31-M31</f>
        <v>725126.04</v>
      </c>
      <c r="O31" s="40">
        <f t="shared" ref="O31:O40" si="4">M31/$M$136</f>
        <v>0.51159347088794227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750</v>
      </c>
      <c r="N32" s="30">
        <f t="shared" si="3"/>
        <v>7950</v>
      </c>
      <c r="O32" s="40">
        <f t="shared" si="4"/>
        <v>6.4545150752944981E-3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18900</v>
      </c>
      <c r="N33" s="30">
        <f t="shared" si="3"/>
        <v>262200</v>
      </c>
      <c r="O33" s="40">
        <f t="shared" si="4"/>
        <v>0.16265377989742136</v>
      </c>
    </row>
    <row r="34" spans="1:15" ht="15.95" customHeight="1" x14ac:dyDescent="0.2">
      <c r="A34" s="43" t="s">
        <v>40</v>
      </c>
      <c r="B34" s="31" t="s">
        <v>41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/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42</v>
      </c>
      <c r="B35" s="31" t="s">
        <v>157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/>
      <c r="N35" s="30">
        <f t="shared" si="3"/>
        <v>34510.800000000003</v>
      </c>
      <c r="O35" s="40">
        <f t="shared" si="4"/>
        <v>0</v>
      </c>
    </row>
    <row r="36" spans="1:15" ht="15.95" customHeight="1" x14ac:dyDescent="0.2">
      <c r="A36" s="43" t="s">
        <v>43</v>
      </c>
      <c r="B36" s="31" t="s">
        <v>158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6342.89</v>
      </c>
      <c r="N36" s="30">
        <f t="shared" si="3"/>
        <v>81058.259999999995</v>
      </c>
      <c r="O36" s="40">
        <f t="shared" si="4"/>
        <v>5.4587038834579625E-2</v>
      </c>
    </row>
    <row r="37" spans="1:15" ht="15.95" customHeight="1" x14ac:dyDescent="0.2">
      <c r="A37" s="43" t="s">
        <v>44</v>
      </c>
      <c r="B37" s="31" t="s">
        <v>159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594.46</v>
      </c>
      <c r="N37" s="30">
        <f t="shared" si="3"/>
        <v>7596.38</v>
      </c>
      <c r="O37" s="40">
        <f t="shared" si="4"/>
        <v>5.115934708879423E-3</v>
      </c>
    </row>
    <row r="38" spans="1:15" ht="15.95" customHeight="1" x14ac:dyDescent="0.2">
      <c r="A38" s="43" t="s">
        <v>45</v>
      </c>
      <c r="B38" s="31" t="s">
        <v>46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/>
      <c r="N38" s="30">
        <f t="shared" si="3"/>
        <v>67581.009999999995</v>
      </c>
      <c r="O38" s="40">
        <f t="shared" si="4"/>
        <v>0</v>
      </c>
    </row>
    <row r="39" spans="1:15" ht="15.95" customHeight="1" x14ac:dyDescent="0.2">
      <c r="A39" s="43" t="s">
        <v>47</v>
      </c>
      <c r="B39" s="31" t="s">
        <v>160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/>
      <c r="N39" s="30">
        <f t="shared" si="3"/>
        <v>67581.009999999995</v>
      </c>
      <c r="O39" s="40">
        <f t="shared" si="4"/>
        <v>0</v>
      </c>
    </row>
    <row r="40" spans="1:15" ht="15.95" customHeight="1" x14ac:dyDescent="0.2">
      <c r="A40" s="43" t="s">
        <v>48</v>
      </c>
      <c r="B40" s="31" t="s">
        <v>49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/>
      <c r="N40" s="30">
        <f t="shared" si="3"/>
        <v>4400</v>
      </c>
      <c r="O40" s="40">
        <f t="shared" si="4"/>
        <v>0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50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93</v>
      </c>
      <c r="B44" s="31" t="s">
        <v>51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426.43</v>
      </c>
      <c r="N44" s="30">
        <f t="shared" si="3"/>
        <v>13323.57</v>
      </c>
      <c r="O44" s="40">
        <f t="shared" ref="O44:O59" si="7">M44/$M$136</f>
        <v>3.6698651514104437E-3</v>
      </c>
    </row>
    <row r="45" spans="1:15" ht="15.95" customHeight="1" x14ac:dyDescent="0.2">
      <c r="A45" s="43" t="s">
        <v>94</v>
      </c>
      <c r="B45" s="31" t="s">
        <v>52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4673.76</v>
      </c>
      <c r="N45" s="30">
        <f t="shared" si="3"/>
        <v>21426.239999999998</v>
      </c>
      <c r="O45" s="40">
        <f t="shared" si="7"/>
        <v>4.0222472504411216E-2</v>
      </c>
    </row>
    <row r="46" spans="1:15" ht="15.95" customHeight="1" x14ac:dyDescent="0.2">
      <c r="A46" s="43" t="s">
        <v>95</v>
      </c>
      <c r="B46" s="31" t="s">
        <v>53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/>
      <c r="N46" s="30">
        <f t="shared" si="3"/>
        <v>2000</v>
      </c>
      <c r="O46" s="40">
        <f t="shared" si="7"/>
        <v>0</v>
      </c>
    </row>
    <row r="47" spans="1:15" ht="15.95" customHeight="1" x14ac:dyDescent="0.2">
      <c r="A47" s="43" t="s">
        <v>96</v>
      </c>
      <c r="B47" s="31" t="s">
        <v>161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/>
      <c r="N47" s="30">
        <f t="shared" si="3"/>
        <v>8000</v>
      </c>
      <c r="O47" s="40">
        <f t="shared" si="7"/>
        <v>0</v>
      </c>
    </row>
    <row r="48" spans="1:15" ht="15.95" customHeight="1" x14ac:dyDescent="0.2">
      <c r="A48" s="43" t="s">
        <v>97</v>
      </c>
      <c r="B48" s="31" t="s">
        <v>162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>C48+D48-E48+F48-G48+H48-I48+J48-K48</f>
        <v>14250</v>
      </c>
      <c r="M48" s="30">
        <v>90.5</v>
      </c>
      <c r="N48" s="30">
        <f t="shared" si="3"/>
        <v>14159.5</v>
      </c>
      <c r="O48" s="40">
        <f t="shared" si="7"/>
        <v>7.7884481908553605E-4</v>
      </c>
    </row>
    <row r="49" spans="1:15" ht="15.95" customHeight="1" x14ac:dyDescent="0.2">
      <c r="A49" s="43" t="s">
        <v>98</v>
      </c>
      <c r="B49" s="31" t="s">
        <v>163</v>
      </c>
      <c r="C49" s="30">
        <v>1715190.72</v>
      </c>
      <c r="D49" s="30"/>
      <c r="E49" s="30"/>
      <c r="F49" s="46"/>
      <c r="G49" s="46"/>
      <c r="H49" s="30"/>
      <c r="I49" s="30"/>
      <c r="J49" s="46"/>
      <c r="K49" s="46"/>
      <c r="L49" s="30">
        <f t="shared" si="6"/>
        <v>1715190.72</v>
      </c>
      <c r="M49" s="30"/>
      <c r="N49" s="30">
        <f t="shared" si="3"/>
        <v>1715190.72</v>
      </c>
      <c r="O49" s="40">
        <f t="shared" si="7"/>
        <v>0</v>
      </c>
    </row>
    <row r="50" spans="1:15" ht="15.95" customHeight="1" x14ac:dyDescent="0.2">
      <c r="A50" s="43" t="s">
        <v>99</v>
      </c>
      <c r="B50" s="31" t="s">
        <v>54</v>
      </c>
      <c r="C50" s="30">
        <v>261792.7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261792.7</v>
      </c>
      <c r="M50" s="30"/>
      <c r="N50" s="30">
        <f t="shared" si="3"/>
        <v>261792.7</v>
      </c>
      <c r="O50" s="40">
        <f t="shared" si="7"/>
        <v>0</v>
      </c>
    </row>
    <row r="51" spans="1:15" ht="15.95" customHeight="1" x14ac:dyDescent="0.2">
      <c r="A51" s="43" t="s">
        <v>100</v>
      </c>
      <c r="B51" s="31" t="s">
        <v>164</v>
      </c>
      <c r="C51" s="30">
        <v>631585.37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631585.37</v>
      </c>
      <c r="M51" s="30"/>
      <c r="N51" s="30">
        <f t="shared" si="3"/>
        <v>631585.37</v>
      </c>
      <c r="O51" s="40">
        <f t="shared" si="7"/>
        <v>0</v>
      </c>
    </row>
    <row r="52" spans="1:15" ht="15.95" customHeight="1" x14ac:dyDescent="0.2">
      <c r="A52" s="43" t="s">
        <v>101</v>
      </c>
      <c r="B52" s="31" t="s">
        <v>55</v>
      </c>
      <c r="C52" s="30">
        <v>70750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70750</v>
      </c>
      <c r="M52" s="30"/>
      <c r="N52" s="30">
        <f t="shared" si="3"/>
        <v>70750</v>
      </c>
      <c r="O52" s="40">
        <f t="shared" si="7"/>
        <v>0</v>
      </c>
    </row>
    <row r="53" spans="1:15" ht="15.95" customHeight="1" x14ac:dyDescent="0.2">
      <c r="A53" s="43" t="s">
        <v>102</v>
      </c>
      <c r="B53" s="31" t="s">
        <v>56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/>
      <c r="N53" s="30">
        <f t="shared" si="3"/>
        <v>42500</v>
      </c>
      <c r="O53" s="40">
        <f t="shared" si="7"/>
        <v>0</v>
      </c>
    </row>
    <row r="54" spans="1:15" ht="15.95" customHeight="1" x14ac:dyDescent="0.2">
      <c r="A54" s="43" t="s">
        <v>103</v>
      </c>
      <c r="B54" s="31" t="s">
        <v>57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/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104</v>
      </c>
      <c r="B55" s="31" t="s">
        <v>165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/>
      <c r="N55" s="30">
        <f t="shared" si="3"/>
        <v>3004.32</v>
      </c>
      <c r="O55" s="40">
        <f t="shared" si="7"/>
        <v>0</v>
      </c>
    </row>
    <row r="56" spans="1:15" ht="15.95" customHeight="1" x14ac:dyDescent="0.2">
      <c r="A56" s="43" t="s">
        <v>105</v>
      </c>
      <c r="B56" s="31" t="s">
        <v>166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/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106</v>
      </c>
      <c r="B57" s="31" t="s">
        <v>167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565.6</v>
      </c>
      <c r="N57" s="30">
        <f t="shared" si="3"/>
        <v>6434.4</v>
      </c>
      <c r="O57" s="40">
        <f t="shared" si="7"/>
        <v>4.8675649687820906E-3</v>
      </c>
    </row>
    <row r="58" spans="1:15" ht="15.95" customHeight="1" x14ac:dyDescent="0.2">
      <c r="A58" s="43" t="s">
        <v>107</v>
      </c>
      <c r="B58" s="31" t="s">
        <v>168</v>
      </c>
      <c r="C58" s="30">
        <v>14000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14000</v>
      </c>
      <c r="M58" s="30">
        <v>450</v>
      </c>
      <c r="N58" s="30">
        <f t="shared" si="3"/>
        <v>13550</v>
      </c>
      <c r="O58" s="40">
        <f t="shared" si="7"/>
        <v>3.872709045176699E-3</v>
      </c>
    </row>
    <row r="59" spans="1:15" ht="15.95" hidden="1" customHeight="1" x14ac:dyDescent="0.2">
      <c r="A59" s="43" t="s">
        <v>108</v>
      </c>
      <c r="B59" s="31" t="s">
        <v>169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/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241</v>
      </c>
      <c r="C60" s="30">
        <v>15000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15000</v>
      </c>
      <c r="M60" s="30"/>
      <c r="N60" s="30">
        <f t="shared" si="3"/>
        <v>15000</v>
      </c>
      <c r="O60" s="40"/>
    </row>
    <row r="61" spans="1:15" ht="15.95" customHeight="1" x14ac:dyDescent="0.2">
      <c r="A61" s="43">
        <v>171</v>
      </c>
      <c r="B61" s="31" t="s">
        <v>169</v>
      </c>
      <c r="C61" s="30">
        <v>110000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110000</v>
      </c>
      <c r="M61" s="30"/>
      <c r="N61" s="30">
        <f t="shared" si="3"/>
        <v>110000</v>
      </c>
      <c r="O61" s="40"/>
    </row>
    <row r="62" spans="1:15" ht="15.95" customHeight="1" x14ac:dyDescent="0.2">
      <c r="A62" s="43" t="s">
        <v>109</v>
      </c>
      <c r="B62" s="31" t="s">
        <v>170</v>
      </c>
      <c r="C62" s="30">
        <v>9750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9750</v>
      </c>
      <c r="M62" s="30"/>
      <c r="N62" s="30">
        <f t="shared" si="3"/>
        <v>9750</v>
      </c>
      <c r="O62" s="40">
        <f t="shared" ref="O62:O77" si="8">M62/$M$136</f>
        <v>0</v>
      </c>
    </row>
    <row r="63" spans="1:15" ht="15.95" customHeight="1" x14ac:dyDescent="0.2">
      <c r="A63" s="43" t="s">
        <v>110</v>
      </c>
      <c r="B63" s="31" t="s">
        <v>171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/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239</v>
      </c>
      <c r="C64" s="30">
        <v>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0</v>
      </c>
      <c r="M64" s="30"/>
      <c r="N64" s="30">
        <f t="shared" si="3"/>
        <v>0</v>
      </c>
      <c r="O64" s="40">
        <f t="shared" si="8"/>
        <v>0</v>
      </c>
    </row>
    <row r="65" spans="1:15" ht="15.95" customHeight="1" x14ac:dyDescent="0.2">
      <c r="A65" s="43" t="s">
        <v>111</v>
      </c>
      <c r="B65" s="31" t="s">
        <v>172</v>
      </c>
      <c r="C65" s="30">
        <v>15000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15000</v>
      </c>
      <c r="M65" s="30"/>
      <c r="N65" s="30">
        <f t="shared" si="3"/>
        <v>15000</v>
      </c>
      <c r="O65" s="40">
        <f t="shared" si="8"/>
        <v>0</v>
      </c>
    </row>
    <row r="66" spans="1:15" ht="15.95" customHeight="1" x14ac:dyDescent="0.2">
      <c r="A66" s="43" t="s">
        <v>112</v>
      </c>
      <c r="B66" s="31" t="s">
        <v>173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4500</v>
      </c>
      <c r="N66" s="30">
        <f t="shared" si="3"/>
        <v>49500</v>
      </c>
      <c r="O66" s="40">
        <f t="shared" si="8"/>
        <v>3.8727090451766991E-2</v>
      </c>
    </row>
    <row r="67" spans="1:15" ht="15.95" customHeight="1" x14ac:dyDescent="0.2">
      <c r="A67" s="43" t="s">
        <v>113</v>
      </c>
      <c r="B67" s="31" t="s">
        <v>58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/>
      <c r="N67" s="30">
        <f t="shared" si="3"/>
        <v>7500</v>
      </c>
      <c r="O67" s="40">
        <f t="shared" si="8"/>
        <v>0</v>
      </c>
    </row>
    <row r="68" spans="1:15" ht="15.95" customHeight="1" x14ac:dyDescent="0.2">
      <c r="A68" s="43" t="s">
        <v>114</v>
      </c>
      <c r="B68" s="31" t="s">
        <v>174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/>
      <c r="N68" s="30">
        <f t="shared" si="3"/>
        <v>24540</v>
      </c>
      <c r="O68" s="40">
        <f t="shared" si="8"/>
        <v>0</v>
      </c>
    </row>
    <row r="69" spans="1:15" ht="15.95" customHeight="1" x14ac:dyDescent="0.2">
      <c r="A69" s="43" t="s">
        <v>115</v>
      </c>
      <c r="B69" s="31" t="s">
        <v>175</v>
      </c>
      <c r="C69" s="30">
        <v>8000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8000</v>
      </c>
      <c r="M69" s="30"/>
      <c r="N69" s="30">
        <f t="shared" si="3"/>
        <v>8000</v>
      </c>
      <c r="O69" s="40">
        <f t="shared" si="8"/>
        <v>0</v>
      </c>
    </row>
    <row r="70" spans="1:15" ht="15.95" customHeight="1" x14ac:dyDescent="0.2">
      <c r="A70" s="43" t="s">
        <v>116</v>
      </c>
      <c r="B70" s="31" t="s">
        <v>176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/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117</v>
      </c>
      <c r="B71" s="31" t="s">
        <v>59</v>
      </c>
      <c r="C71" s="30">
        <v>681800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681800</v>
      </c>
      <c r="M71" s="30"/>
      <c r="N71" s="30">
        <f t="shared" si="3"/>
        <v>681800</v>
      </c>
      <c r="O71" s="40">
        <f t="shared" si="8"/>
        <v>0</v>
      </c>
    </row>
    <row r="72" spans="1:15" ht="15.95" customHeight="1" x14ac:dyDescent="0.2">
      <c r="A72" s="43" t="s">
        <v>118</v>
      </c>
      <c r="B72" s="31" t="s">
        <v>177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/>
      <c r="N72" s="30">
        <f t="shared" si="3"/>
        <v>8250</v>
      </c>
      <c r="O72" s="40">
        <f t="shared" si="8"/>
        <v>0</v>
      </c>
    </row>
    <row r="73" spans="1:15" ht="15.95" customHeight="1" x14ac:dyDescent="0.2">
      <c r="A73" s="43" t="s">
        <v>119</v>
      </c>
      <c r="B73" s="31" t="s">
        <v>178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160.36000000000001</v>
      </c>
      <c r="N73" s="30">
        <f t="shared" si="3"/>
        <v>2339.64</v>
      </c>
      <c r="O73" s="40">
        <f t="shared" si="8"/>
        <v>1.3800613832989678E-3</v>
      </c>
    </row>
    <row r="74" spans="1:15" ht="15.95" customHeight="1" x14ac:dyDescent="0.2">
      <c r="A74" s="43" t="s">
        <v>120</v>
      </c>
      <c r="B74" s="31" t="s">
        <v>60</v>
      </c>
      <c r="C74" s="30">
        <v>108251.07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108251.07</v>
      </c>
      <c r="M74" s="30"/>
      <c r="N74" s="30">
        <f t="shared" si="3"/>
        <v>108251.07</v>
      </c>
      <c r="O74" s="40">
        <f t="shared" si="8"/>
        <v>0</v>
      </c>
    </row>
    <row r="75" spans="1:15" ht="15.95" customHeight="1" x14ac:dyDescent="0.2">
      <c r="A75" s="43" t="s">
        <v>121</v>
      </c>
      <c r="B75" s="31" t="s">
        <v>179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/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180</v>
      </c>
      <c r="B76" s="31" t="s">
        <v>153</v>
      </c>
      <c r="C76" s="30">
        <v>214100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214100</v>
      </c>
      <c r="M76" s="30"/>
      <c r="N76" s="30">
        <f t="shared" si="3"/>
        <v>214100</v>
      </c>
      <c r="O76" s="40">
        <f t="shared" si="8"/>
        <v>0</v>
      </c>
    </row>
    <row r="77" spans="1:15" ht="15.95" customHeight="1" x14ac:dyDescent="0.2">
      <c r="A77" s="43" t="s">
        <v>122</v>
      </c>
      <c r="B77" s="31" t="s">
        <v>181</v>
      </c>
      <c r="C77" s="30">
        <v>121000</v>
      </c>
      <c r="D77" s="30"/>
      <c r="E77" s="30"/>
      <c r="F77" s="46"/>
      <c r="G77" s="46"/>
      <c r="H77" s="30"/>
      <c r="I77" s="30"/>
      <c r="J77" s="46"/>
      <c r="K77" s="46"/>
      <c r="L77" s="30">
        <f t="shared" si="6"/>
        <v>121000</v>
      </c>
      <c r="M77" s="30">
        <v>7</v>
      </c>
      <c r="N77" s="30">
        <f t="shared" si="3"/>
        <v>120993</v>
      </c>
      <c r="O77" s="40">
        <f t="shared" si="8"/>
        <v>6.024214070274865E-5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61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123</v>
      </c>
      <c r="B81" s="31" t="s">
        <v>62</v>
      </c>
      <c r="C81" s="30">
        <v>114414.1</v>
      </c>
      <c r="D81" s="30"/>
      <c r="E81" s="30"/>
      <c r="F81" s="46"/>
      <c r="G81" s="46"/>
      <c r="H81" s="30"/>
      <c r="I81" s="30"/>
      <c r="J81" s="46"/>
      <c r="K81" s="46"/>
      <c r="L81" s="30">
        <f t="shared" ref="L81:L117" si="9">C81+D81-E81+F81-G81+H81-I81+J81-K81</f>
        <v>114414.1</v>
      </c>
      <c r="M81" s="30">
        <v>1799.85</v>
      </c>
      <c r="N81" s="30">
        <f t="shared" si="3"/>
        <v>112614.25</v>
      </c>
      <c r="O81" s="40">
        <f t="shared" ref="O81:O117" si="10">M81/$M$136</f>
        <v>1.5489545277691735E-2</v>
      </c>
    </row>
    <row r="82" spans="1:15" ht="15.95" hidden="1" customHeight="1" x14ac:dyDescent="0.2">
      <c r="A82" s="43">
        <v>214</v>
      </c>
      <c r="B82" s="31" t="s">
        <v>193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/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194</v>
      </c>
      <c r="C83" s="30">
        <v>0</v>
      </c>
      <c r="D83" s="30"/>
      <c r="E83" s="30"/>
      <c r="F83" s="46"/>
      <c r="G83" s="46"/>
      <c r="H83" s="30"/>
      <c r="I83" s="30"/>
      <c r="J83" s="46"/>
      <c r="K83" s="46"/>
      <c r="L83" s="30">
        <f t="shared" si="9"/>
        <v>0</v>
      </c>
      <c r="M83" s="30"/>
      <c r="N83" s="30">
        <f t="shared" si="3"/>
        <v>0</v>
      </c>
      <c r="O83" s="40">
        <f t="shared" si="10"/>
        <v>0</v>
      </c>
    </row>
    <row r="84" spans="1:15" ht="15.95" hidden="1" customHeight="1" x14ac:dyDescent="0.2">
      <c r="A84" s="43">
        <v>229</v>
      </c>
      <c r="B84" s="31" t="s">
        <v>195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/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124</v>
      </c>
      <c r="B85" s="31" t="s">
        <v>63</v>
      </c>
      <c r="C85" s="30">
        <v>2750</v>
      </c>
      <c r="D85" s="30"/>
      <c r="E85" s="30"/>
      <c r="F85" s="46"/>
      <c r="G85" s="46"/>
      <c r="H85" s="30"/>
      <c r="I85" s="30"/>
      <c r="J85" s="46"/>
      <c r="K85" s="46"/>
      <c r="L85" s="30">
        <f t="shared" si="9"/>
        <v>2750</v>
      </c>
      <c r="M85" s="30"/>
      <c r="N85" s="30">
        <f t="shared" si="3"/>
        <v>2750</v>
      </c>
      <c r="O85" s="40">
        <f t="shared" si="10"/>
        <v>0</v>
      </c>
    </row>
    <row r="86" spans="1:15" ht="15.95" customHeight="1" x14ac:dyDescent="0.2">
      <c r="A86" s="43" t="s">
        <v>125</v>
      </c>
      <c r="B86" s="31" t="s">
        <v>64</v>
      </c>
      <c r="C86" s="30">
        <v>16800</v>
      </c>
      <c r="D86" s="30"/>
      <c r="E86" s="30"/>
      <c r="F86" s="46"/>
      <c r="G86" s="46"/>
      <c r="H86" s="30"/>
      <c r="I86" s="30"/>
      <c r="J86" s="46"/>
      <c r="K86" s="46"/>
      <c r="L86" s="30">
        <f t="shared" si="9"/>
        <v>16800</v>
      </c>
      <c r="M86" s="30"/>
      <c r="N86" s="30">
        <f t="shared" si="3"/>
        <v>16800</v>
      </c>
      <c r="O86" s="40">
        <f t="shared" si="10"/>
        <v>0</v>
      </c>
    </row>
    <row r="87" spans="1:15" ht="15.95" customHeight="1" x14ac:dyDescent="0.2">
      <c r="A87" s="43" t="s">
        <v>126</v>
      </c>
      <c r="B87" s="31" t="s">
        <v>65</v>
      </c>
      <c r="C87" s="30">
        <v>5250</v>
      </c>
      <c r="D87" s="30"/>
      <c r="E87" s="30"/>
      <c r="F87" s="46"/>
      <c r="G87" s="46"/>
      <c r="H87" s="30"/>
      <c r="I87" s="30"/>
      <c r="J87" s="46"/>
      <c r="K87" s="46"/>
      <c r="L87" s="30">
        <f t="shared" si="9"/>
        <v>5250</v>
      </c>
      <c r="M87" s="30"/>
      <c r="N87" s="30">
        <f t="shared" si="3"/>
        <v>5250</v>
      </c>
      <c r="O87" s="40">
        <f t="shared" si="10"/>
        <v>0</v>
      </c>
    </row>
    <row r="88" spans="1:15" ht="15.95" customHeight="1" x14ac:dyDescent="0.2">
      <c r="A88" s="43" t="s">
        <v>127</v>
      </c>
      <c r="B88" s="31" t="s">
        <v>66</v>
      </c>
      <c r="C88" s="30">
        <v>5500</v>
      </c>
      <c r="D88" s="30"/>
      <c r="E88" s="30"/>
      <c r="F88" s="46"/>
      <c r="G88" s="46"/>
      <c r="H88" s="30"/>
      <c r="I88" s="30"/>
      <c r="J88" s="46"/>
      <c r="K88" s="46"/>
      <c r="L88" s="30">
        <f t="shared" si="9"/>
        <v>5500</v>
      </c>
      <c r="M88" s="30">
        <v>743.24</v>
      </c>
      <c r="N88" s="30">
        <f t="shared" si="3"/>
        <v>4756.76</v>
      </c>
      <c r="O88" s="40">
        <f t="shared" si="10"/>
        <v>6.3963383794158439E-3</v>
      </c>
    </row>
    <row r="89" spans="1:15" ht="15.95" customHeight="1" x14ac:dyDescent="0.2">
      <c r="A89" s="43" t="s">
        <v>128</v>
      </c>
      <c r="B89" s="31" t="s">
        <v>196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287.8</v>
      </c>
      <c r="N89" s="30">
        <f t="shared" si="3"/>
        <v>2762.2</v>
      </c>
      <c r="O89" s="40">
        <f t="shared" si="10"/>
        <v>2.4768125848930087E-3</v>
      </c>
    </row>
    <row r="90" spans="1:15" ht="15.95" customHeight="1" x14ac:dyDescent="0.2">
      <c r="A90" s="43" t="s">
        <v>129</v>
      </c>
      <c r="B90" s="31" t="s">
        <v>67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/>
      <c r="N90" s="30">
        <f t="shared" si="3"/>
        <v>875</v>
      </c>
      <c r="O90" s="40">
        <f t="shared" si="10"/>
        <v>0</v>
      </c>
    </row>
    <row r="91" spans="1:15" ht="15.95" customHeight="1" x14ac:dyDescent="0.2">
      <c r="A91" s="43" t="s">
        <v>130</v>
      </c>
      <c r="B91" s="31" t="s">
        <v>197</v>
      </c>
      <c r="C91" s="30">
        <v>5500</v>
      </c>
      <c r="D91" s="30"/>
      <c r="E91" s="30"/>
      <c r="F91" s="46"/>
      <c r="G91" s="46"/>
      <c r="H91" s="30"/>
      <c r="I91" s="30"/>
      <c r="J91" s="46"/>
      <c r="K91" s="46"/>
      <c r="L91" s="30">
        <f t="shared" si="9"/>
        <v>5500</v>
      </c>
      <c r="M91" s="30"/>
      <c r="N91" s="30">
        <f t="shared" si="3"/>
        <v>5500</v>
      </c>
      <c r="O91" s="40">
        <f t="shared" si="10"/>
        <v>0</v>
      </c>
    </row>
    <row r="92" spans="1:15" ht="15.95" customHeight="1" x14ac:dyDescent="0.2">
      <c r="A92" s="43" t="s">
        <v>131</v>
      </c>
      <c r="B92" s="31" t="s">
        <v>68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/>
      <c r="N92" s="30">
        <f t="shared" si="3"/>
        <v>2700</v>
      </c>
      <c r="O92" s="40">
        <f t="shared" si="10"/>
        <v>0</v>
      </c>
    </row>
    <row r="93" spans="1:15" ht="15.95" customHeight="1" x14ac:dyDescent="0.2">
      <c r="A93" s="43" t="s">
        <v>198</v>
      </c>
      <c r="B93" s="31" t="s">
        <v>199</v>
      </c>
      <c r="C93" s="30">
        <v>2800</v>
      </c>
      <c r="D93" s="30"/>
      <c r="E93" s="30"/>
      <c r="F93" s="46"/>
      <c r="G93" s="46"/>
      <c r="H93" s="30"/>
      <c r="I93" s="30"/>
      <c r="J93" s="46"/>
      <c r="K93" s="46"/>
      <c r="L93" s="30">
        <f t="shared" si="9"/>
        <v>2800</v>
      </c>
      <c r="M93" s="30"/>
      <c r="N93" s="30">
        <f t="shared" si="3"/>
        <v>2800</v>
      </c>
      <c r="O93" s="40">
        <f t="shared" si="10"/>
        <v>0</v>
      </c>
    </row>
    <row r="94" spans="1:15" ht="15.95" customHeight="1" x14ac:dyDescent="0.2">
      <c r="A94" s="43" t="s">
        <v>132</v>
      </c>
      <c r="B94" s="31" t="s">
        <v>69</v>
      </c>
      <c r="C94" s="30">
        <v>8500</v>
      </c>
      <c r="D94" s="30"/>
      <c r="E94" s="30"/>
      <c r="F94" s="46"/>
      <c r="G94" s="46"/>
      <c r="H94" s="30"/>
      <c r="I94" s="30"/>
      <c r="J94" s="46"/>
      <c r="K94" s="46"/>
      <c r="L94" s="30">
        <f t="shared" si="9"/>
        <v>8500</v>
      </c>
      <c r="M94" s="30">
        <v>379.82</v>
      </c>
      <c r="N94" s="30">
        <f t="shared" si="3"/>
        <v>8120.18</v>
      </c>
      <c r="O94" s="40">
        <f t="shared" si="10"/>
        <v>3.2687385545311417E-3</v>
      </c>
    </row>
    <row r="95" spans="1:15" ht="15.95" customHeight="1" x14ac:dyDescent="0.2">
      <c r="A95" s="43" t="s">
        <v>133</v>
      </c>
      <c r="B95" s="31" t="s">
        <v>200</v>
      </c>
      <c r="C95" s="30">
        <v>6000</v>
      </c>
      <c r="D95" s="30"/>
      <c r="E95" s="30"/>
      <c r="F95" s="46"/>
      <c r="G95" s="46"/>
      <c r="H95" s="30"/>
      <c r="I95" s="30"/>
      <c r="J95" s="46"/>
      <c r="K95" s="46"/>
      <c r="L95" s="30">
        <f t="shared" si="9"/>
        <v>6000</v>
      </c>
      <c r="M95" s="30">
        <v>237.82</v>
      </c>
      <c r="N95" s="30">
        <f t="shared" si="3"/>
        <v>5762.18</v>
      </c>
      <c r="O95" s="40">
        <f t="shared" si="10"/>
        <v>2.0466837002753833E-3</v>
      </c>
    </row>
    <row r="96" spans="1:15" ht="15.95" customHeight="1" x14ac:dyDescent="0.2">
      <c r="A96" s="43" t="s">
        <v>134</v>
      </c>
      <c r="B96" s="31" t="s">
        <v>70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1750</v>
      </c>
      <c r="N96" s="30">
        <f t="shared" si="3"/>
        <v>15750</v>
      </c>
      <c r="O96" s="40">
        <f t="shared" si="10"/>
        <v>1.5060535175687163E-2</v>
      </c>
    </row>
    <row r="97" spans="1:15" ht="15.95" customHeight="1" x14ac:dyDescent="0.2">
      <c r="A97" s="43" t="s">
        <v>135</v>
      </c>
      <c r="B97" s="31" t="s">
        <v>201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30</v>
      </c>
      <c r="N97" s="30">
        <f t="shared" si="3"/>
        <v>2970</v>
      </c>
      <c r="O97" s="40">
        <f t="shared" si="10"/>
        <v>2.5818060301177994E-4</v>
      </c>
    </row>
    <row r="98" spans="1:15" ht="15.95" customHeight="1" x14ac:dyDescent="0.2">
      <c r="A98" s="43" t="s">
        <v>136</v>
      </c>
      <c r="B98" s="31" t="s">
        <v>202</v>
      </c>
      <c r="C98" s="30">
        <v>1500</v>
      </c>
      <c r="D98" s="30"/>
      <c r="E98" s="30"/>
      <c r="F98" s="46"/>
      <c r="G98" s="46"/>
      <c r="H98" s="30"/>
      <c r="I98" s="30"/>
      <c r="J98" s="46"/>
      <c r="K98" s="46"/>
      <c r="L98" s="30">
        <f t="shared" si="9"/>
        <v>1500</v>
      </c>
      <c r="M98" s="30"/>
      <c r="N98" s="30">
        <f t="shared" ref="N98:N135" si="11">L98-M98</f>
        <v>1500</v>
      </c>
      <c r="O98" s="40">
        <f t="shared" si="10"/>
        <v>0</v>
      </c>
    </row>
    <row r="99" spans="1:15" ht="15.95" customHeight="1" x14ac:dyDescent="0.2">
      <c r="A99" s="43" t="s">
        <v>137</v>
      </c>
      <c r="B99" s="31" t="s">
        <v>71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/>
      <c r="N99" s="30">
        <f t="shared" si="11"/>
        <v>210345</v>
      </c>
      <c r="O99" s="40">
        <f t="shared" si="10"/>
        <v>0</v>
      </c>
    </row>
    <row r="100" spans="1:15" ht="15.95" hidden="1" customHeight="1" x14ac:dyDescent="0.2">
      <c r="A100" s="43">
        <v>272</v>
      </c>
      <c r="B100" s="31" t="s">
        <v>203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/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138</v>
      </c>
      <c r="B101" s="31" t="s">
        <v>204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/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72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/>
      <c r="N102" s="30">
        <f t="shared" si="11"/>
        <v>1500</v>
      </c>
      <c r="O102" s="40">
        <f t="shared" si="10"/>
        <v>0</v>
      </c>
    </row>
    <row r="103" spans="1:15" ht="15.95" hidden="1" customHeight="1" x14ac:dyDescent="0.2">
      <c r="A103" s="43">
        <v>275</v>
      </c>
      <c r="B103" s="31" t="s">
        <v>205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/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206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/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207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/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139</v>
      </c>
      <c r="B106" s="31" t="s">
        <v>208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/>
      <c r="N106" s="30">
        <f t="shared" si="11"/>
        <v>1800</v>
      </c>
      <c r="O106" s="40">
        <f t="shared" si="10"/>
        <v>0</v>
      </c>
    </row>
    <row r="107" spans="1:15" ht="15.95" customHeight="1" x14ac:dyDescent="0.2">
      <c r="A107" s="43" t="s">
        <v>140</v>
      </c>
      <c r="B107" s="31" t="s">
        <v>73</v>
      </c>
      <c r="C107" s="30">
        <f>8800+100000</f>
        <v>108800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9"/>
        <v>108800</v>
      </c>
      <c r="M107" s="30"/>
      <c r="N107" s="30">
        <f t="shared" si="11"/>
        <v>108800</v>
      </c>
      <c r="O107" s="40">
        <f t="shared" si="10"/>
        <v>0</v>
      </c>
    </row>
    <row r="108" spans="1:15" ht="15.95" customHeight="1" x14ac:dyDescent="0.2">
      <c r="A108" s="43" t="s">
        <v>141</v>
      </c>
      <c r="B108" s="31" t="s">
        <v>74</v>
      </c>
      <c r="C108" s="30">
        <v>800821.67999999993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9"/>
        <v>800821.67999999993</v>
      </c>
      <c r="M108" s="30"/>
      <c r="N108" s="30">
        <f t="shared" si="11"/>
        <v>800821.67999999993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209</v>
      </c>
      <c r="C109" s="30">
        <v>1500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9"/>
        <v>1500</v>
      </c>
      <c r="M109" s="30"/>
      <c r="N109" s="30">
        <f t="shared" si="11"/>
        <v>1500</v>
      </c>
      <c r="O109" s="40">
        <f t="shared" si="10"/>
        <v>0</v>
      </c>
    </row>
    <row r="110" spans="1:15" ht="15.95" hidden="1" customHeight="1" x14ac:dyDescent="0.2">
      <c r="A110" s="43">
        <v>289</v>
      </c>
      <c r="B110" s="31" t="s">
        <v>210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/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142</v>
      </c>
      <c r="B111" s="31" t="s">
        <v>75</v>
      </c>
      <c r="C111" s="30">
        <v>6600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9"/>
        <v>6600</v>
      </c>
      <c r="M111" s="30">
        <v>472.85</v>
      </c>
      <c r="N111" s="30">
        <f t="shared" si="11"/>
        <v>6127.15</v>
      </c>
      <c r="O111" s="40">
        <f t="shared" si="10"/>
        <v>4.0693566044706711E-3</v>
      </c>
    </row>
    <row r="112" spans="1:15" ht="15.95" customHeight="1" x14ac:dyDescent="0.2">
      <c r="A112" s="43" t="s">
        <v>143</v>
      </c>
      <c r="B112" s="31" t="s">
        <v>211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9"/>
        <v>2000</v>
      </c>
      <c r="M112" s="30">
        <v>353.77</v>
      </c>
      <c r="N112" s="30">
        <f t="shared" si="11"/>
        <v>1646.23</v>
      </c>
      <c r="O112" s="40">
        <f t="shared" si="10"/>
        <v>3.0445517309159124E-3</v>
      </c>
    </row>
    <row r="113" spans="1:15" ht="15.95" customHeight="1" x14ac:dyDescent="0.2">
      <c r="A113" s="43" t="s">
        <v>144</v>
      </c>
      <c r="B113" s="31" t="s">
        <v>76</v>
      </c>
      <c r="C113" s="30">
        <v>115251.9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9"/>
        <v>115251.9</v>
      </c>
      <c r="M113" s="30"/>
      <c r="N113" s="30">
        <f t="shared" si="11"/>
        <v>115251.9</v>
      </c>
      <c r="O113" s="40">
        <f t="shared" si="10"/>
        <v>0</v>
      </c>
    </row>
    <row r="114" spans="1:15" ht="15.95" customHeight="1" x14ac:dyDescent="0.2">
      <c r="A114" s="43" t="s">
        <v>145</v>
      </c>
      <c r="B114" s="31" t="s">
        <v>77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9"/>
        <v>2000</v>
      </c>
      <c r="M114" s="30">
        <v>628.95000000000005</v>
      </c>
      <c r="N114" s="30">
        <f t="shared" si="11"/>
        <v>1371.05</v>
      </c>
      <c r="O114" s="40">
        <f t="shared" si="10"/>
        <v>5.4127563421419661E-3</v>
      </c>
    </row>
    <row r="115" spans="1:15" ht="15.95" customHeight="1" x14ac:dyDescent="0.2">
      <c r="A115" s="43" t="s">
        <v>146</v>
      </c>
      <c r="B115" s="31" t="s">
        <v>212</v>
      </c>
      <c r="C115" s="30">
        <v>9500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9"/>
        <v>9500</v>
      </c>
      <c r="M115" s="30"/>
      <c r="N115" s="30">
        <f t="shared" si="11"/>
        <v>9500</v>
      </c>
      <c r="O115" s="40">
        <f t="shared" si="10"/>
        <v>0</v>
      </c>
    </row>
    <row r="116" spans="1:15" ht="15.95" customHeight="1" x14ac:dyDescent="0.2">
      <c r="A116" s="43" t="s">
        <v>147</v>
      </c>
      <c r="B116" s="31" t="s">
        <v>78</v>
      </c>
      <c r="C116" s="30">
        <v>101000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9"/>
        <v>101000</v>
      </c>
      <c r="M116" s="30">
        <v>819.13</v>
      </c>
      <c r="N116" s="30">
        <f t="shared" si="11"/>
        <v>100180.87</v>
      </c>
      <c r="O116" s="40">
        <f t="shared" si="10"/>
        <v>7.0494492448346432E-3</v>
      </c>
    </row>
    <row r="117" spans="1:15" ht="15.95" customHeight="1" x14ac:dyDescent="0.2">
      <c r="A117" s="43" t="s">
        <v>148</v>
      </c>
      <c r="B117" s="31" t="s">
        <v>79</v>
      </c>
      <c r="C117" s="30">
        <v>7500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9"/>
        <v>7500</v>
      </c>
      <c r="M117" s="30">
        <v>507.5</v>
      </c>
      <c r="N117" s="30">
        <f t="shared" si="11"/>
        <v>6992.5</v>
      </c>
      <c r="O117" s="40">
        <f t="shared" si="10"/>
        <v>4.3675552009492767E-3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80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213</v>
      </c>
      <c r="B122" s="45" t="s">
        <v>214</v>
      </c>
      <c r="C122" s="46">
        <v>10000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ref="L122:L135" si="12">C122+D122-E122+F122-G122+J122-K122</f>
        <v>10000</v>
      </c>
      <c r="M122" s="30">
        <v>1290</v>
      </c>
      <c r="N122" s="30">
        <f t="shared" si="11"/>
        <v>8710</v>
      </c>
      <c r="O122" s="40">
        <f>M122/$M$136</f>
        <v>1.1101765929506537E-2</v>
      </c>
    </row>
    <row r="123" spans="1:15" ht="15.95" hidden="1" customHeight="1" x14ac:dyDescent="0.2">
      <c r="A123" s="44" t="s">
        <v>81</v>
      </c>
      <c r="B123" s="45" t="s">
        <v>215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/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216</v>
      </c>
      <c r="B124" s="45" t="s">
        <v>217</v>
      </c>
      <c r="C124" s="46">
        <v>54035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si="12"/>
        <v>54035</v>
      </c>
      <c r="M124" s="30"/>
      <c r="N124" s="30">
        <f t="shared" si="11"/>
        <v>54035</v>
      </c>
      <c r="O124" s="40">
        <f>M124/$M$136</f>
        <v>0</v>
      </c>
    </row>
    <row r="125" spans="1:15" ht="15.95" customHeight="1" x14ac:dyDescent="0.2">
      <c r="A125" s="44" t="s">
        <v>218</v>
      </c>
      <c r="B125" s="45" t="s">
        <v>219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/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238</v>
      </c>
      <c r="C126" s="46">
        <f>15000+15000</f>
        <v>30000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2"/>
        <v>30000</v>
      </c>
      <c r="M126" s="30">
        <v>9990</v>
      </c>
      <c r="N126" s="30">
        <f t="shared" si="11"/>
        <v>20010</v>
      </c>
      <c r="O126" s="40">
        <f>+M126/M136</f>
        <v>8.5974140802922719E-2</v>
      </c>
    </row>
    <row r="127" spans="1:15" ht="15.95" customHeight="1" x14ac:dyDescent="0.2">
      <c r="A127" s="44" t="s">
        <v>220</v>
      </c>
      <c r="B127" s="45" t="s">
        <v>221</v>
      </c>
      <c r="C127" s="46">
        <v>14300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2"/>
        <v>14300</v>
      </c>
      <c r="M127" s="30"/>
      <c r="N127" s="30">
        <f t="shared" si="11"/>
        <v>14300</v>
      </c>
      <c r="O127" s="40">
        <f>M127/$M$136</f>
        <v>0</v>
      </c>
    </row>
    <row r="128" spans="1:15" ht="15.95" hidden="1" customHeight="1" x14ac:dyDescent="0.2">
      <c r="A128" s="44" t="s">
        <v>222</v>
      </c>
      <c r="B128" s="45" t="s">
        <v>223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/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82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224</v>
      </c>
      <c r="B132" s="31" t="s">
        <v>83</v>
      </c>
      <c r="C132" s="30">
        <v>140900</v>
      </c>
      <c r="D132" s="30"/>
      <c r="E132" s="30"/>
      <c r="F132" s="46"/>
      <c r="G132" s="46"/>
      <c r="H132" s="30"/>
      <c r="I132" s="30"/>
      <c r="J132" s="46"/>
      <c r="K132" s="46"/>
      <c r="L132" s="30">
        <f t="shared" si="12"/>
        <v>140900</v>
      </c>
      <c r="M132" s="30"/>
      <c r="N132" s="30">
        <f t="shared" si="11"/>
        <v>140900</v>
      </c>
      <c r="O132" s="40">
        <f>M132/$M$136</f>
        <v>0</v>
      </c>
    </row>
    <row r="133" spans="1:15" ht="15.95" customHeight="1" x14ac:dyDescent="0.2">
      <c r="A133" s="43" t="s">
        <v>225</v>
      </c>
      <c r="B133" s="31" t="s">
        <v>226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/>
      <c r="N133" s="30">
        <f t="shared" si="11"/>
        <v>7170</v>
      </c>
      <c r="O133" s="40">
        <f>M133/$M$136</f>
        <v>0</v>
      </c>
    </row>
    <row r="134" spans="1:15" ht="15.95" customHeight="1" x14ac:dyDescent="0.2">
      <c r="A134" s="43" t="s">
        <v>227</v>
      </c>
      <c r="B134" s="31" t="s">
        <v>228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/>
      <c r="N134" s="30">
        <f t="shared" si="11"/>
        <v>163700</v>
      </c>
      <c r="O134" s="40">
        <f>M134/$M$136</f>
        <v>0</v>
      </c>
    </row>
    <row r="135" spans="1:15" ht="15.95" customHeight="1" thickBot="1" x14ac:dyDescent="0.25">
      <c r="A135" s="43" t="s">
        <v>229</v>
      </c>
      <c r="B135" s="31" t="s">
        <v>230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/>
      <c r="N135" s="30">
        <f t="shared" si="11"/>
        <v>8750</v>
      </c>
      <c r="O135" s="40">
        <f>M135/$M$136</f>
        <v>0</v>
      </c>
    </row>
    <row r="136" spans="1:15" ht="18" customHeight="1" thickBot="1" x14ac:dyDescent="0.3">
      <c r="A136" s="34"/>
      <c r="B136" s="35" t="s">
        <v>92</v>
      </c>
      <c r="C136" s="36">
        <f t="shared" ref="C136:N136" si="13">SUM(C31:C135)</f>
        <v>7829870.540000001</v>
      </c>
      <c r="D136" s="36">
        <f t="shared" si="13"/>
        <v>0</v>
      </c>
      <c r="E136" s="36">
        <f t="shared" si="13"/>
        <v>0</v>
      </c>
      <c r="F136" s="36">
        <f t="shared" si="13"/>
        <v>0</v>
      </c>
      <c r="G136" s="36">
        <f t="shared" si="13"/>
        <v>0</v>
      </c>
      <c r="H136" s="36">
        <f t="shared" si="13"/>
        <v>0</v>
      </c>
      <c r="I136" s="36">
        <f t="shared" si="13"/>
        <v>0</v>
      </c>
      <c r="J136" s="69">
        <f t="shared" si="13"/>
        <v>0</v>
      </c>
      <c r="K136" s="69">
        <f t="shared" si="13"/>
        <v>0</v>
      </c>
      <c r="L136" s="36">
        <f t="shared" si="13"/>
        <v>7829870.540000001</v>
      </c>
      <c r="M136" s="36">
        <f t="shared" si="13"/>
        <v>116197.73000000004</v>
      </c>
      <c r="N136" s="36">
        <f t="shared" si="13"/>
        <v>7713672.8100000005</v>
      </c>
      <c r="O136" s="47">
        <v>1</v>
      </c>
    </row>
    <row r="137" spans="1:15" x14ac:dyDescent="0.2">
      <c r="A137" s="48"/>
      <c r="B137" s="80"/>
      <c r="C137" s="83"/>
      <c r="D137" s="81"/>
      <c r="E137" s="49"/>
      <c r="F137" s="49"/>
      <c r="G137" s="49"/>
      <c r="H137" s="49"/>
      <c r="I137" s="49"/>
      <c r="J137" s="70"/>
      <c r="K137" s="70"/>
      <c r="L137" s="49"/>
      <c r="M137" s="49"/>
      <c r="N137" s="49"/>
    </row>
    <row r="138" spans="1:15" ht="15.75" thickBot="1" x14ac:dyDescent="0.25">
      <c r="B138" s="82"/>
      <c r="C138" s="82"/>
      <c r="D138" s="82"/>
      <c r="E138" s="12"/>
      <c r="F138" s="4"/>
      <c r="L138" s="15"/>
      <c r="M138" s="4"/>
    </row>
    <row r="139" spans="1:15" ht="15.75" x14ac:dyDescent="0.25">
      <c r="A139" s="1" t="s">
        <v>84</v>
      </c>
      <c r="B139" s="2"/>
      <c r="C139" s="3"/>
      <c r="D139" s="4"/>
      <c r="E139" s="4"/>
      <c r="F139" s="4"/>
      <c r="G139" s="4"/>
      <c r="H139" s="4"/>
      <c r="I139" s="4"/>
      <c r="J139" s="71"/>
      <c r="K139" s="71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1"/>
      <c r="K140" s="71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6.95" customHeight="1" x14ac:dyDescent="0.2">
      <c r="A142" s="50"/>
      <c r="B142" s="51"/>
      <c r="C142" s="52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x14ac:dyDescent="0.2">
      <c r="A143" s="53" t="s">
        <v>85</v>
      </c>
      <c r="B143" s="54"/>
      <c r="C143" s="55"/>
      <c r="D143" s="4"/>
      <c r="E143" s="4"/>
      <c r="F143" s="4"/>
      <c r="G143" s="4"/>
      <c r="H143" s="4"/>
      <c r="I143" s="4"/>
      <c r="J143" s="71"/>
      <c r="K143" s="71"/>
      <c r="L143" s="4"/>
    </row>
    <row r="144" spans="1:15" x14ac:dyDescent="0.2">
      <c r="A144" s="56" t="s">
        <v>245</v>
      </c>
      <c r="B144" s="54"/>
      <c r="C144" s="74">
        <v>2417589.64</v>
      </c>
      <c r="D144" s="49"/>
      <c r="E144" s="4"/>
      <c r="F144" s="4"/>
      <c r="G144" s="4"/>
      <c r="H144" s="4"/>
      <c r="I144" s="4"/>
      <c r="J144" s="71"/>
      <c r="K144" s="71"/>
      <c r="L144" s="4"/>
    </row>
    <row r="145" spans="1:12" x14ac:dyDescent="0.2">
      <c r="A145" s="56" t="s">
        <v>250</v>
      </c>
      <c r="B145" s="54"/>
      <c r="C145" s="74">
        <v>-25591.599999999999</v>
      </c>
      <c r="D145" s="49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246</v>
      </c>
      <c r="B146" s="54"/>
      <c r="C146" s="74"/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90" t="s">
        <v>247</v>
      </c>
      <c r="B147" s="54"/>
      <c r="C147" s="74"/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86</v>
      </c>
      <c r="B148" s="54"/>
      <c r="C148" s="74">
        <f>M26</f>
        <v>250141.91</v>
      </c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56" t="s">
        <v>87</v>
      </c>
      <c r="B149" s="54"/>
      <c r="C149" s="75">
        <f>-M136</f>
        <v>-116197.73000000004</v>
      </c>
      <c r="D149" s="4"/>
      <c r="E149" s="4"/>
      <c r="F149" s="4"/>
      <c r="G149" s="4"/>
      <c r="H149" s="4"/>
      <c r="I149" s="4"/>
      <c r="J149" s="71"/>
      <c r="K149" s="71"/>
      <c r="L149" s="4"/>
    </row>
    <row r="150" spans="1:12" ht="15.75" x14ac:dyDescent="0.25">
      <c r="A150" s="57" t="s">
        <v>88</v>
      </c>
      <c r="B150" s="58"/>
      <c r="C150" s="76">
        <f>SUM(C144:C149)</f>
        <v>2525942.2200000002</v>
      </c>
      <c r="D150" s="4"/>
      <c r="E150" s="4"/>
      <c r="F150" s="4"/>
      <c r="G150" s="4"/>
      <c r="H150" s="4"/>
      <c r="I150" s="4"/>
      <c r="J150" s="71"/>
      <c r="K150" s="71"/>
      <c r="L150" s="4"/>
    </row>
    <row r="151" spans="1:12" ht="15.75" x14ac:dyDescent="0.25">
      <c r="A151" s="57"/>
      <c r="B151" s="58"/>
      <c r="C151" s="76"/>
      <c r="D151" s="4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3" t="s">
        <v>89</v>
      </c>
      <c r="B152" s="54"/>
      <c r="C152" s="74"/>
      <c r="D152" s="4"/>
      <c r="E152" s="4"/>
      <c r="F152" s="4"/>
      <c r="G152" s="4"/>
      <c r="H152" s="4"/>
      <c r="I152" s="4"/>
      <c r="J152" s="71"/>
      <c r="K152" s="71"/>
      <c r="L152" s="4"/>
    </row>
    <row r="153" spans="1:12" ht="12" customHeight="1" x14ac:dyDescent="0.2">
      <c r="A153" s="56" t="s">
        <v>149</v>
      </c>
      <c r="B153" s="54"/>
      <c r="C153" s="74">
        <v>272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2" customHeight="1" x14ac:dyDescent="0.2">
      <c r="A154" s="56" t="s">
        <v>249</v>
      </c>
      <c r="B154" s="54"/>
      <c r="C154" s="74">
        <v>475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x14ac:dyDescent="0.2">
      <c r="A155" s="56" t="s">
        <v>152</v>
      </c>
      <c r="B155" s="54"/>
      <c r="C155" s="74">
        <v>9808.6</v>
      </c>
      <c r="D155" s="85"/>
      <c r="E155" s="86"/>
      <c r="F155" s="4"/>
      <c r="G155" s="4"/>
      <c r="H155" s="4"/>
      <c r="I155" s="4"/>
      <c r="J155" s="71"/>
      <c r="K155" s="71"/>
      <c r="L155" s="4"/>
    </row>
    <row r="156" spans="1:12" x14ac:dyDescent="0.2">
      <c r="A156" s="56" t="s">
        <v>151</v>
      </c>
      <c r="B156" s="54"/>
      <c r="C156" s="74">
        <v>1902.9</v>
      </c>
      <c r="D156" s="87"/>
      <c r="E156" s="86"/>
      <c r="F156" s="4"/>
      <c r="G156" s="4"/>
      <c r="H156" s="4"/>
      <c r="I156" s="4"/>
      <c r="J156" s="71"/>
      <c r="K156" s="71"/>
      <c r="L156" s="4"/>
    </row>
    <row r="157" spans="1:12" x14ac:dyDescent="0.2">
      <c r="A157" s="56" t="s">
        <v>150</v>
      </c>
      <c r="B157" s="54"/>
      <c r="C157" s="74">
        <v>182.4</v>
      </c>
      <c r="D157" s="87"/>
      <c r="E157" s="86"/>
      <c r="F157" s="4"/>
      <c r="G157" s="4"/>
      <c r="H157" s="4"/>
      <c r="I157" s="4"/>
      <c r="J157" s="71"/>
      <c r="K157" s="71"/>
      <c r="L157" s="4"/>
    </row>
    <row r="158" spans="1:12" x14ac:dyDescent="0.2">
      <c r="A158" s="56" t="s">
        <v>237</v>
      </c>
      <c r="B158" s="54"/>
      <c r="C158" s="74">
        <f>990.15+990.15+990.15+990.15+990.15+990.15+990.15+990.15+990.15+990.15+990.15</f>
        <v>10891.649999999998</v>
      </c>
      <c r="D158" s="87"/>
      <c r="E158" s="86"/>
      <c r="F158" s="4"/>
      <c r="G158" s="4"/>
      <c r="H158" s="4"/>
      <c r="I158" s="4"/>
      <c r="J158" s="71"/>
      <c r="K158" s="71"/>
      <c r="L158" s="4"/>
    </row>
    <row r="159" spans="1:12" x14ac:dyDescent="0.2">
      <c r="A159" s="56"/>
      <c r="B159" s="54"/>
      <c r="C159" s="75"/>
      <c r="D159" s="88"/>
      <c r="E159" s="89"/>
      <c r="F159" s="4"/>
      <c r="G159" s="4"/>
      <c r="H159" s="4"/>
      <c r="I159" s="4"/>
      <c r="J159" s="71"/>
      <c r="K159" s="71"/>
      <c r="L159" s="4"/>
    </row>
    <row r="160" spans="1:12" ht="15.75" x14ac:dyDescent="0.25">
      <c r="A160" s="57"/>
      <c r="B160" s="58"/>
      <c r="C160" s="76">
        <f>SUM(C153:C159)</f>
        <v>23532.549999999996</v>
      </c>
      <c r="D160" s="88"/>
      <c r="E160" s="89"/>
      <c r="F160" s="4"/>
      <c r="G160" s="4"/>
      <c r="H160" s="4"/>
      <c r="I160" s="4"/>
      <c r="J160" s="71"/>
      <c r="K160" s="71"/>
      <c r="L160" s="4"/>
    </row>
    <row r="161" spans="1:13" ht="2.1" customHeight="1" x14ac:dyDescent="0.25">
      <c r="A161" s="57"/>
      <c r="B161" s="58"/>
      <c r="C161" s="77"/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/>
      <c r="B162" s="54"/>
      <c r="C162" s="74"/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ht="2.1" customHeight="1" thickBot="1" x14ac:dyDescent="0.3">
      <c r="A163" s="59" t="s">
        <v>244</v>
      </c>
      <c r="B163" s="60"/>
      <c r="C163" s="73">
        <f>C150+C160</f>
        <v>2549474.77</v>
      </c>
      <c r="D163" s="85"/>
      <c r="E163" s="86"/>
      <c r="F163" s="4"/>
      <c r="G163" s="4"/>
      <c r="H163" s="4"/>
      <c r="I163" s="4"/>
      <c r="J163" s="71"/>
      <c r="K163" s="71"/>
      <c r="L163" s="4"/>
    </row>
    <row r="164" spans="1:13" ht="9.9499999999999993" customHeight="1" x14ac:dyDescent="0.2">
      <c r="A164" s="56"/>
      <c r="B164" s="54"/>
      <c r="C164" s="74"/>
      <c r="D164" s="85"/>
      <c r="E164" s="86"/>
      <c r="F164" s="4"/>
      <c r="G164" s="4"/>
      <c r="H164" s="4"/>
      <c r="I164" s="4"/>
      <c r="J164" s="71"/>
      <c r="K164" s="71"/>
      <c r="L164" s="4"/>
    </row>
    <row r="165" spans="1:13" ht="16.5" thickBot="1" x14ac:dyDescent="0.3">
      <c r="A165" s="59" t="s">
        <v>251</v>
      </c>
      <c r="B165" s="60"/>
      <c r="C165" s="73">
        <f>C150+C160</f>
        <v>2549474.77</v>
      </c>
      <c r="D165" s="85"/>
      <c r="E165" s="86"/>
      <c r="F165" s="4"/>
      <c r="G165" s="4"/>
      <c r="H165" s="4"/>
      <c r="I165" s="4"/>
      <c r="J165" s="71"/>
      <c r="K165" s="71"/>
      <c r="L165" s="4"/>
      <c r="M165" s="4"/>
    </row>
    <row r="166" spans="1:13" x14ac:dyDescent="0.2">
      <c r="A166" s="61"/>
      <c r="B166" s="61"/>
      <c r="C166" s="62"/>
      <c r="D166" s="4"/>
      <c r="E166" s="4"/>
      <c r="F166" s="4"/>
      <c r="G166" s="4"/>
      <c r="H166" s="4"/>
      <c r="I166" s="4"/>
      <c r="J166" s="71"/>
      <c r="K166" s="71"/>
      <c r="L166" s="4"/>
    </row>
    <row r="167" spans="1:13" x14ac:dyDescent="0.2">
      <c r="C167" s="62"/>
      <c r="D167" s="4"/>
    </row>
    <row r="168" spans="1:13" x14ac:dyDescent="0.2">
      <c r="C168" s="14"/>
      <c r="D168" s="4"/>
    </row>
    <row r="169" spans="1:13" x14ac:dyDescent="0.2">
      <c r="C169" s="14"/>
      <c r="D169" s="4"/>
    </row>
    <row r="170" spans="1:13" x14ac:dyDescent="0.2">
      <c r="C170" s="15"/>
      <c r="D170" s="4"/>
      <c r="I170" s="4"/>
      <c r="K170" s="71"/>
      <c r="L170" s="4"/>
    </row>
    <row r="171" spans="1:13" x14ac:dyDescent="0.2">
      <c r="C171" s="15"/>
      <c r="D171" s="4"/>
    </row>
    <row r="172" spans="1:13" x14ac:dyDescent="0.2">
      <c r="C172" s="15"/>
      <c r="D172" s="4"/>
    </row>
    <row r="173" spans="1:13" x14ac:dyDescent="0.2">
      <c r="C173" s="15"/>
      <c r="D173" s="4"/>
    </row>
    <row r="174" spans="1:13" x14ac:dyDescent="0.2">
      <c r="C174" s="15"/>
      <c r="D174" s="4"/>
    </row>
    <row r="175" spans="1:13" x14ac:dyDescent="0.2">
      <c r="D175" s="4"/>
    </row>
    <row r="176" spans="1:13" x14ac:dyDescent="0.2">
      <c r="D176" s="4"/>
    </row>
    <row r="177" spans="2:12" x14ac:dyDescent="0.2">
      <c r="B177" s="11" t="s">
        <v>242</v>
      </c>
      <c r="D177" s="13" t="s">
        <v>231</v>
      </c>
      <c r="I177" s="13" t="s">
        <v>240</v>
      </c>
      <c r="K177" s="79"/>
    </row>
    <row r="178" spans="2:12" x14ac:dyDescent="0.2">
      <c r="B178" s="11" t="s">
        <v>90</v>
      </c>
      <c r="D178" s="13" t="s">
        <v>91</v>
      </c>
      <c r="I178" s="11" t="s">
        <v>252</v>
      </c>
    </row>
    <row r="182" spans="2:12" x14ac:dyDescent="0.2">
      <c r="I182" s="4"/>
      <c r="K182" s="71"/>
      <c r="L182" s="4"/>
    </row>
    <row r="183" spans="2:12" x14ac:dyDescent="0.2">
      <c r="I183" s="4"/>
      <c r="K183" s="71"/>
      <c r="L183" s="4"/>
    </row>
    <row r="184" spans="2:12" x14ac:dyDescent="0.2">
      <c r="G184" s="63"/>
      <c r="I184" s="63"/>
      <c r="K184" s="72"/>
      <c r="L184" s="4"/>
    </row>
    <row r="185" spans="2:12" x14ac:dyDescent="0.2">
      <c r="G185" s="63"/>
      <c r="I185" s="63"/>
      <c r="K185" s="72"/>
      <c r="L185" s="4"/>
    </row>
    <row r="186" spans="2:12" x14ac:dyDescent="0.2">
      <c r="G186" s="63"/>
      <c r="L186" s="4"/>
    </row>
    <row r="187" spans="2:12" x14ac:dyDescent="0.2">
      <c r="G187" s="63"/>
    </row>
    <row r="188" spans="2:12" x14ac:dyDescent="0.2">
      <c r="G188" s="63"/>
    </row>
    <row r="189" spans="2:12" x14ac:dyDescent="0.2">
      <c r="G189" s="63"/>
      <c r="L189" s="4"/>
    </row>
    <row r="190" spans="2:12" x14ac:dyDescent="0.2">
      <c r="G190" s="63"/>
    </row>
    <row r="191" spans="2:12" x14ac:dyDescent="0.2">
      <c r="G191" s="63"/>
    </row>
    <row r="192" spans="2:12" x14ac:dyDescent="0.2">
      <c r="G192" s="63"/>
    </row>
    <row r="193" spans="7:7" x14ac:dyDescent="0.2">
      <c r="G193" s="63"/>
    </row>
    <row r="194" spans="7:7" x14ac:dyDescent="0.2">
      <c r="G194" s="63"/>
    </row>
    <row r="195" spans="7:7" x14ac:dyDescent="0.2">
      <c r="G195" s="63"/>
    </row>
    <row r="196" spans="7:7" x14ac:dyDescent="0.2">
      <c r="G196" s="63"/>
    </row>
    <row r="197" spans="7:7" x14ac:dyDescent="0.2">
      <c r="G197" s="63"/>
    </row>
    <row r="198" spans="7:7" x14ac:dyDescent="0.2">
      <c r="G198" s="63"/>
    </row>
    <row r="199" spans="7:7" x14ac:dyDescent="0.2">
      <c r="G199" s="63"/>
    </row>
    <row r="200" spans="7:7" x14ac:dyDescent="0.2">
      <c r="G200" s="63"/>
    </row>
    <row r="201" spans="7:7" x14ac:dyDescent="0.2">
      <c r="G201" s="63"/>
    </row>
  </sheetData>
  <mergeCells count="4">
    <mergeCell ref="B6:B7"/>
    <mergeCell ref="M6:M7"/>
    <mergeCell ref="H6:I6"/>
    <mergeCell ref="J6:K6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A100" zoomScaleNormal="100" workbookViewId="0">
      <selection activeCell="C100" sqref="C10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276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08" t="s">
        <v>13</v>
      </c>
      <c r="J7" s="66" t="s">
        <v>12</v>
      </c>
      <c r="K7" s="109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35000</v>
      </c>
      <c r="N10" s="30">
        <f t="shared" ref="N10:N22" si="1">L10-M10</f>
        <v>-2000</v>
      </c>
      <c r="O10" s="29">
        <f>M10/$M$26</f>
        <v>7.6416203208762223E-3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/>
      <c r="J12" s="46"/>
      <c r="K12" s="46"/>
      <c r="L12" s="30">
        <f t="shared" si="0"/>
        <v>250000</v>
      </c>
      <c r="M12" s="30">
        <v>24490</v>
      </c>
      <c r="N12" s="30">
        <f t="shared" si="1"/>
        <v>225510</v>
      </c>
      <c r="O12" s="29">
        <f>M12/$M$26</f>
        <v>5.3469509045216768E-3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6608.94</v>
      </c>
      <c r="N15" s="30">
        <f t="shared" si="1"/>
        <v>-3308.9399999999996</v>
      </c>
      <c r="O15" s="29">
        <f>M15/$M$26</f>
        <v>1.4429431486700484E-3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0"/>
        <v>3103145.92</v>
      </c>
      <c r="M18" s="30">
        <f>1148712.35+247708.11+272206.72+247708.11+435657.98+264286.78</f>
        <v>2616280.0499999998</v>
      </c>
      <c r="N18" s="30">
        <f t="shared" si="1"/>
        <v>486865.87000000011</v>
      </c>
      <c r="O18" s="29">
        <f>M18/$M$26</f>
        <v>0.57121767986237304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f>1068728.91+549754.89+63716.67+59116.65+130137.77-66977.79</f>
        <v>1804477.0999999996</v>
      </c>
      <c r="N20" s="30">
        <f t="shared" si="1"/>
        <v>1389431.1100000003</v>
      </c>
      <c r="O20" s="29">
        <f>M20/$M$26</f>
        <v>0.39397511074045116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f>46662.18+46662.18</f>
        <v>93324.36</v>
      </c>
      <c r="N22" s="30">
        <f t="shared" si="1"/>
        <v>146177.53999999998</v>
      </c>
      <c r="O22" s="29">
        <f>M22/$M$26</f>
        <v>2.0375695023107657E-2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4580180.45</v>
      </c>
      <c r="N26" s="36">
        <f t="shared" si="2"/>
        <v>3249690.0900000008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581662.6</v>
      </c>
      <c r="N31" s="30">
        <f t="shared" ref="N31:N99" si="3">L31-M31</f>
        <v>202909.44000000006</v>
      </c>
      <c r="O31" s="40">
        <f>M31/$M$138</f>
        <v>0.14042001489267267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7500</v>
      </c>
      <c r="N32" s="30">
        <f t="shared" si="3"/>
        <v>1200</v>
      </c>
      <c r="O32" s="40">
        <f>M32/$M$138</f>
        <v>1.8105859164660838E-3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v>220389.46</v>
      </c>
      <c r="N33" s="30">
        <f t="shared" si="3"/>
        <v>60710.540000000008</v>
      </c>
      <c r="O33" s="40">
        <f>M33/$M$138</f>
        <v>5.3204540321808706E-2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v>531285.16</v>
      </c>
      <c r="N34" s="30">
        <f t="shared" si="3"/>
        <v>5714.8399999999674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v>11180.25</v>
      </c>
      <c r="N36" s="30">
        <f t="shared" si="3"/>
        <v>23330.550000000003</v>
      </c>
      <c r="O36" s="40">
        <f t="shared" si="5"/>
        <v>2.6990404256759912E-3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v>63385.23</v>
      </c>
      <c r="N37" s="30">
        <f t="shared" si="3"/>
        <v>24015.919999999991</v>
      </c>
      <c r="O37" s="40">
        <f t="shared" si="5"/>
        <v>1.5301920633328468E-2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v>5940.52</v>
      </c>
      <c r="N38" s="30">
        <f t="shared" si="3"/>
        <v>2250.3199999999997</v>
      </c>
      <c r="O38" s="40">
        <f t="shared" si="5"/>
        <v>1.4341095797980135E-3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>
        <v>2010.58</v>
      </c>
      <c r="N39" s="30">
        <f t="shared" si="3"/>
        <v>65570.429999999993</v>
      </c>
      <c r="O39" s="40">
        <f t="shared" si="5"/>
        <v>4.8537704425711712E-4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>
        <f>60946+256.49</f>
        <v>61202.49</v>
      </c>
      <c r="N40" s="30">
        <f t="shared" si="3"/>
        <v>6378.5199999999968</v>
      </c>
      <c r="O40" s="40">
        <f t="shared" si="5"/>
        <v>1.4774982192887509E-2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>
        <v>232.33</v>
      </c>
      <c r="N41" s="30">
        <f t="shared" si="3"/>
        <v>4167.67</v>
      </c>
      <c r="O41" s="40">
        <f t="shared" si="5"/>
        <v>5.6087123463008704E-5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9283.82</v>
      </c>
      <c r="N45" s="30">
        <f t="shared" si="3"/>
        <v>4466.18</v>
      </c>
      <c r="O45" s="40">
        <f t="shared" ref="O45:O54" si="7">M45/$M$138</f>
        <v>2.2412204990674878E-3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10007.44</v>
      </c>
      <c r="N46" s="30">
        <f t="shared" si="3"/>
        <v>16092.56</v>
      </c>
      <c r="O46" s="40">
        <f t="shared" si="7"/>
        <v>2.4159106565172462E-3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4.9247936927877475E-4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2494.5</v>
      </c>
      <c r="N49" s="30">
        <f t="shared" si="3"/>
        <v>11755.5</v>
      </c>
      <c r="O49" s="40">
        <f t="shared" si="7"/>
        <v>6.0220087581661942E-4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/>
      <c r="J50" s="46"/>
      <c r="K50" s="46"/>
      <c r="L50" s="30">
        <f t="shared" si="6"/>
        <v>1554520.72</v>
      </c>
      <c r="M50" s="30">
        <f>482817.23+30147+162479.24</f>
        <v>675443.47</v>
      </c>
      <c r="N50" s="30">
        <f t="shared" si="3"/>
        <v>879077.25</v>
      </c>
      <c r="O50" s="40">
        <f t="shared" si="7"/>
        <v>0.1630597912201309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/>
      <c r="J51" s="46"/>
      <c r="K51" s="46"/>
      <c r="L51" s="30">
        <f t="shared" si="6"/>
        <v>979342.7</v>
      </c>
      <c r="M51" s="30">
        <f>289239.2+42956.87+90118.28+16491.41</f>
        <v>438805.75999999995</v>
      </c>
      <c r="N51" s="30">
        <f t="shared" si="3"/>
        <v>540536.93999999994</v>
      </c>
      <c r="O51" s="40">
        <f t="shared" si="7"/>
        <v>0.10593273721602617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f>94679.24+122967.62+49876.8</f>
        <v>267523.65999999997</v>
      </c>
      <c r="N52" s="30">
        <f t="shared" si="3"/>
        <v>364061.71</v>
      </c>
      <c r="O52" s="40">
        <f t="shared" si="7"/>
        <v>6.4583276148994798E-2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/>
      <c r="I53" s="30"/>
      <c r="J53" s="46"/>
      <c r="K53" s="46"/>
      <c r="L53" s="30">
        <f t="shared" si="6"/>
        <v>20750</v>
      </c>
      <c r="M53" s="30">
        <f>34474.52+70</f>
        <v>34544.519999999997</v>
      </c>
      <c r="N53" s="30">
        <f t="shared" si="3"/>
        <v>-13794.519999999997</v>
      </c>
      <c r="O53" s="40">
        <f t="shared" si="7"/>
        <v>8.3394428537441265E-3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/>
      <c r="I54" s="30"/>
      <c r="J54" s="46"/>
      <c r="K54" s="46"/>
      <c r="L54" s="30">
        <f t="shared" si="6"/>
        <v>7500</v>
      </c>
      <c r="M54" s="30"/>
      <c r="N54" s="30">
        <f t="shared" si="3"/>
        <v>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v>64285.7</v>
      </c>
      <c r="N55" s="30">
        <f t="shared" si="3"/>
        <v>25714.300000000003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5.0696405661050344E-4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2.0008181434227868E-4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5.1420640027636773E-4</v>
      </c>
    </row>
    <row r="61" spans="1:15" ht="15.95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/>
      <c r="I63" s="30"/>
      <c r="J63" s="46"/>
      <c r="K63" s="46"/>
      <c r="L63" s="30">
        <f t="shared" si="6"/>
        <v>40000</v>
      </c>
      <c r="M63" s="30"/>
      <c r="N63" s="30">
        <f t="shared" si="3"/>
        <v>40000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/>
      <c r="I64" s="30"/>
      <c r="J64" s="46"/>
      <c r="K64" s="46"/>
      <c r="L64" s="30">
        <f t="shared" si="6"/>
        <v>25750</v>
      </c>
      <c r="M64" s="30"/>
      <c r="N64" s="30">
        <f t="shared" si="3"/>
        <v>25750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27400</v>
      </c>
      <c r="N67" s="30">
        <f t="shared" si="3"/>
        <v>75600</v>
      </c>
      <c r="O67" s="40">
        <f t="shared" si="9"/>
        <v>6.6146738814894255E-3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45000</v>
      </c>
      <c r="N68" s="30">
        <f t="shared" si="3"/>
        <v>9000</v>
      </c>
      <c r="O68" s="40">
        <f t="shared" si="9"/>
        <v>1.0863515498796503E-2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1450+300+750</f>
        <v>2500</v>
      </c>
      <c r="N69" s="30">
        <f t="shared" si="3"/>
        <v>5000</v>
      </c>
      <c r="O69" s="40">
        <f t="shared" si="9"/>
        <v>6.0352863882202792E-4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v>7800</v>
      </c>
      <c r="N71" s="30">
        <f t="shared" si="3"/>
        <v>12700</v>
      </c>
      <c r="O71" s="40">
        <f t="shared" si="9"/>
        <v>1.8830093531247271E-3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>
        <v>4758.1000000000004</v>
      </c>
      <c r="N74" s="30">
        <f t="shared" si="3"/>
        <v>3491.8999999999996</v>
      </c>
      <c r="O74" s="40">
        <f t="shared" si="9"/>
        <v>1.1486598465516365E-3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1093.54</v>
      </c>
      <c r="N75" s="30">
        <f t="shared" si="3"/>
        <v>1406.46</v>
      </c>
      <c r="O75" s="40">
        <f t="shared" si="9"/>
        <v>2.6399308307897617E-4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/>
      <c r="I76" s="30"/>
      <c r="J76" s="46"/>
      <c r="K76" s="46"/>
      <c r="L76" s="30">
        <f t="shared" si="6"/>
        <v>18251.070000000007</v>
      </c>
      <c r="M76" s="30">
        <v>335.5</v>
      </c>
      <c r="N76" s="30">
        <f t="shared" si="3"/>
        <v>17915.570000000007</v>
      </c>
      <c r="O76" s="40">
        <f t="shared" si="9"/>
        <v>8.0993543329916149E-5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/>
      <c r="N77" s="30">
        <f t="shared" si="3"/>
        <v>50000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1.033839730073023E-3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/>
      <c r="I79" s="30"/>
      <c r="J79" s="46"/>
      <c r="K79" s="46"/>
      <c r="L79" s="30">
        <f t="shared" si="6"/>
        <v>26000</v>
      </c>
      <c r="M79" s="30">
        <v>8766.2099999999991</v>
      </c>
      <c r="N79" s="30">
        <f t="shared" si="3"/>
        <v>17233.79</v>
      </c>
      <c r="O79" s="40">
        <f t="shared" si="9"/>
        <v>2.1162635155712196E-3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v>31804.55</v>
      </c>
      <c r="N83" s="30">
        <f t="shared" si="3"/>
        <v>114979.55</v>
      </c>
      <c r="O83" s="40">
        <f t="shared" ref="O83:O119" si="11">M83/$M$138</f>
        <v>7.6779827079388506E-3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v>624.1</v>
      </c>
      <c r="N87" s="30">
        <f t="shared" si="3"/>
        <v>4375.8999999999996</v>
      </c>
      <c r="O87" s="40">
        <f t="shared" si="11"/>
        <v>1.5066488939553105E-4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v>28890.66</v>
      </c>
      <c r="N88" s="30">
        <f t="shared" si="3"/>
        <v>4909.34</v>
      </c>
      <c r="O88" s="40">
        <f t="shared" si="11"/>
        <v>6.9745362817880035E-3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2003.6</v>
      </c>
      <c r="N89" s="30">
        <f t="shared" si="3"/>
        <v>3246.4</v>
      </c>
      <c r="O89" s="40">
        <f t="shared" si="11"/>
        <v>4.8369199229752601E-4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v>8007.56</v>
      </c>
      <c r="N90" s="30">
        <f t="shared" si="3"/>
        <v>-2507.5600000000004</v>
      </c>
      <c r="O90" s="40">
        <f t="shared" si="11"/>
        <v>1.9331167148342872E-3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1378.96</v>
      </c>
      <c r="N91" s="30">
        <f t="shared" si="3"/>
        <v>1671.04</v>
      </c>
      <c r="O91" s="40">
        <f t="shared" si="11"/>
        <v>3.3289674071600948E-4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2.4141145552881118E-6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>
        <v>95</v>
      </c>
      <c r="N94" s="30">
        <f t="shared" si="3"/>
        <v>2605</v>
      </c>
      <c r="O94" s="40">
        <f t="shared" si="11"/>
        <v>2.2934088275237059E-5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>
        <v>75</v>
      </c>
      <c r="N95" s="30">
        <f t="shared" si="3"/>
        <v>2725</v>
      </c>
      <c r="O95" s="40">
        <f t="shared" si="11"/>
        <v>1.8105859164660837E-5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4277.82</v>
      </c>
      <c r="N96" s="30">
        <f t="shared" si="3"/>
        <v>4222.18</v>
      </c>
      <c r="O96" s="40">
        <f t="shared" si="11"/>
        <v>1.032714752690259E-3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820.91</v>
      </c>
      <c r="N97" s="30">
        <f t="shared" si="3"/>
        <v>5179.09</v>
      </c>
      <c r="O97" s="40">
        <f t="shared" si="11"/>
        <v>1.9817707795815635E-4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f>2862.9+105+1058.85</f>
        <v>4026.75</v>
      </c>
      <c r="N98" s="30">
        <f t="shared" si="3"/>
        <v>13473.25</v>
      </c>
      <c r="O98" s="40">
        <f t="shared" si="11"/>
        <v>9.7210357855064032E-4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914.11</v>
      </c>
      <c r="N99" s="30">
        <f t="shared" si="3"/>
        <v>2085.89</v>
      </c>
      <c r="O99" s="40">
        <f t="shared" si="11"/>
        <v>2.2067662561344158E-4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4.584403540492124E-5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/>
      <c r="I101" s="30"/>
      <c r="J101" s="46"/>
      <c r="K101" s="46"/>
      <c r="L101" s="30">
        <f t="shared" si="10"/>
        <v>50345</v>
      </c>
      <c r="M101" s="30"/>
      <c r="N101" s="30">
        <f t="shared" si="12"/>
        <v>50345</v>
      </c>
      <c r="O101" s="40">
        <f t="shared" si="11"/>
        <v>0</v>
      </c>
    </row>
    <row r="102" spans="1:15" ht="15.95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f>158+237.75</f>
        <v>395.75</v>
      </c>
      <c r="N104" s="30">
        <f t="shared" si="12"/>
        <v>1104.25</v>
      </c>
      <c r="O104" s="40">
        <f t="shared" si="11"/>
        <v>9.5538583525527017E-5</v>
      </c>
    </row>
    <row r="105" spans="1:15" ht="15.95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f>683+429.15+300</f>
        <v>1412.15</v>
      </c>
      <c r="N108" s="30">
        <f t="shared" si="12"/>
        <v>387.84999999999991</v>
      </c>
      <c r="O108" s="40">
        <f t="shared" si="11"/>
        <v>3.4090918692501071E-4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11700+765525.48+7000</f>
        <v>784225.48</v>
      </c>
      <c r="N110" s="30">
        <f t="shared" si="12"/>
        <v>81596.199999999953</v>
      </c>
      <c r="O110" s="40">
        <f t="shared" si="11"/>
        <v>0.18932101458958059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f>75+110</f>
        <v>185</v>
      </c>
      <c r="N111" s="30">
        <f t="shared" si="12"/>
        <v>1315</v>
      </c>
      <c r="O111" s="40">
        <f t="shared" si="11"/>
        <v>4.4661119272830068E-5</v>
      </c>
    </row>
    <row r="112" spans="1:15" ht="15.95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1859.95</v>
      </c>
      <c r="N113" s="30">
        <f t="shared" si="12"/>
        <v>4740.05</v>
      </c>
      <c r="O113" s="40">
        <f t="shared" si="11"/>
        <v>4.4901323671081231E-4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v>1658.03</v>
      </c>
      <c r="N114" s="30">
        <f t="shared" si="12"/>
        <v>341.97</v>
      </c>
      <c r="O114" s="40">
        <f t="shared" si="11"/>
        <v>4.0026743561043476E-4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7330</v>
      </c>
      <c r="N115" s="30">
        <f t="shared" si="12"/>
        <v>17921.899999999994</v>
      </c>
      <c r="O115" s="40">
        <f t="shared" si="11"/>
        <v>1.7695459690261859E-3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1.518357349548458E-4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104+442+660</f>
        <v>1206</v>
      </c>
      <c r="N117" s="30">
        <f t="shared" si="12"/>
        <v>8294</v>
      </c>
      <c r="O117" s="40">
        <f t="shared" si="11"/>
        <v>2.9114221536774625E-4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/>
      <c r="I118" s="30"/>
      <c r="J118" s="46"/>
      <c r="K118" s="46"/>
      <c r="L118" s="30">
        <f t="shared" si="10"/>
        <v>76000</v>
      </c>
      <c r="M118" s="30">
        <f>819.13+346.18</f>
        <v>1165.31</v>
      </c>
      <c r="N118" s="30">
        <f t="shared" si="12"/>
        <v>74834.69</v>
      </c>
      <c r="O118" s="40">
        <f t="shared" si="11"/>
        <v>2.8131918324227892E-4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f>2520.4+25+1115.92+622.97</f>
        <v>4284.29</v>
      </c>
      <c r="N119" s="30">
        <f t="shared" si="12"/>
        <v>3215.71</v>
      </c>
      <c r="O119" s="40">
        <f t="shared" si="11"/>
        <v>1.0342766848075303E-3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5.996660555335669E-4</v>
      </c>
    </row>
    <row r="125" spans="1:15" ht="15.95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f>9990+14449</f>
        <v>24439</v>
      </c>
      <c r="N128" s="30">
        <f t="shared" si="12"/>
        <v>15561</v>
      </c>
      <c r="O128" s="40">
        <f>+M128/M138</f>
        <v>5.8998545616686156E-3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2.234504432374676E-3</v>
      </c>
    </row>
    <row r="130" spans="1:15" ht="15.95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>
        <v>22230.83</v>
      </c>
      <c r="N134" s="30">
        <f t="shared" si="12"/>
        <v>163669.16999999998</v>
      </c>
      <c r="O134" s="40">
        <f>M134/$M$138</f>
        <v>5.3667770279135617E-3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>
        <v>1208</v>
      </c>
      <c r="N135" s="30">
        <f t="shared" si="12"/>
        <v>5962</v>
      </c>
      <c r="O135" s="40">
        <f>M135/$M$138</f>
        <v>2.916250382788039E-4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99005.72</v>
      </c>
      <c r="N136" s="30">
        <f t="shared" si="12"/>
        <v>64694.28</v>
      </c>
      <c r="O136" s="40">
        <f>M136/$M$138</f>
        <v>2.3901114970877931E-2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4142305.5000000005</v>
      </c>
      <c r="N138" s="36">
        <f t="shared" si="14"/>
        <v>3687565.0399999991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4580180.45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-4142305.5000000005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2253731.5099999993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>
        <v>272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6203.62+581.41+2808.19</f>
        <v>9593.2199999999993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1637.31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4040.41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29660.499999999993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2283392.0099999993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277</v>
      </c>
      <c r="B170" s="60"/>
      <c r="C170" s="73">
        <f>C155+C165</f>
        <v>2283392.0099999993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D182" s="13" t="s">
        <v>231</v>
      </c>
      <c r="I182" s="13" t="s">
        <v>240</v>
      </c>
      <c r="K182" s="79"/>
    </row>
    <row r="183" spans="2:12" x14ac:dyDescent="0.2">
      <c r="B183" s="11" t="s">
        <v>90</v>
      </c>
      <c r="D183" s="13" t="s">
        <v>91</v>
      </c>
      <c r="I183" s="11" t="s">
        <v>252</v>
      </c>
    </row>
    <row r="187" spans="2:12" x14ac:dyDescent="0.2">
      <c r="I187" s="4"/>
      <c r="K187" s="71"/>
      <c r="L187" s="4"/>
    </row>
    <row r="188" spans="2:12" x14ac:dyDescent="0.2">
      <c r="I188" s="4"/>
      <c r="K188" s="71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I190" s="63"/>
      <c r="K190" s="72"/>
      <c r="L190" s="4"/>
    </row>
    <row r="191" spans="2:12" x14ac:dyDescent="0.2">
      <c r="G191" s="63"/>
      <c r="L191" s="4"/>
    </row>
    <row r="192" spans="2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  <ignoredErrors>
    <ignoredError sqref="M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A168" zoomScaleNormal="100" workbookViewId="0">
      <selection activeCell="F182" sqref="F182:I18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278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10" t="s">
        <v>13</v>
      </c>
      <c r="J7" s="66" t="s">
        <v>12</v>
      </c>
      <c r="K7" s="111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>
        <v>4000</v>
      </c>
      <c r="I10" s="30"/>
      <c r="J10" s="46"/>
      <c r="K10" s="46"/>
      <c r="L10" s="30">
        <f>C10+D10-E10+F10-G10+H10+J10-K10</f>
        <v>37000</v>
      </c>
      <c r="M10" s="30">
        <v>35000</v>
      </c>
      <c r="N10" s="30">
        <f t="shared" ref="N10:N22" si="0">L10-M10</f>
        <v>2000</v>
      </c>
      <c r="O10" s="29">
        <f>M10/$M$26</f>
        <v>7.1637212910594418E-3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ref="L11:L22" si="1">C11+D11-E11+F11-G11+J11-K11</f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>
        <v>9500</v>
      </c>
      <c r="J12" s="46"/>
      <c r="K12" s="46"/>
      <c r="L12" s="30">
        <f>C12+D12-E12+F12-G12-I12+J12-K12</f>
        <v>240500</v>
      </c>
      <c r="M12" s="30">
        <f>24490+3340</f>
        <v>27830</v>
      </c>
      <c r="N12" s="30">
        <f t="shared" si="0"/>
        <v>212670</v>
      </c>
      <c r="O12" s="29">
        <f>M12/$M$26</f>
        <v>5.6961818151481216E-3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1"/>
        <v>3500</v>
      </c>
      <c r="M13" s="30">
        <v>8000</v>
      </c>
      <c r="N13" s="30">
        <f t="shared" si="0"/>
        <v>-4500</v>
      </c>
      <c r="O13" s="29">
        <f>M13/$M$26</f>
        <v>1.6374220093850153E-3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>
        <v>5500</v>
      </c>
      <c r="I15" s="30"/>
      <c r="J15" s="46"/>
      <c r="K15" s="46"/>
      <c r="L15" s="30">
        <f>C15+D15-E15+F15-G15+H15+J15-K15</f>
        <v>8800</v>
      </c>
      <c r="M15" s="30">
        <f>6608.94+1100.32</f>
        <v>7709.2599999999993</v>
      </c>
      <c r="N15" s="30">
        <f t="shared" si="0"/>
        <v>1090.7400000000007</v>
      </c>
      <c r="O15" s="29">
        <f>M15/$M$26</f>
        <v>1.5779140000089403E-3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1"/>
        <v>3103145.92</v>
      </c>
      <c r="M18" s="30">
        <f>1148712.35+247708.11+272206.72+247708.11+435657.98+264286.78+247708.11</f>
        <v>2863988.1599999997</v>
      </c>
      <c r="N18" s="30">
        <f t="shared" si="0"/>
        <v>239157.76000000024</v>
      </c>
      <c r="O18" s="29">
        <f>M18/$M$26</f>
        <v>0.58619465597526155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1"/>
        <v>0</v>
      </c>
      <c r="M19" s="30"/>
      <c r="N19" s="30">
        <f t="shared" si="0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1"/>
        <v>3193908.21</v>
      </c>
      <c r="M20" s="30">
        <f>1068728.91+549754.89+63716.67+59116.65+130137.77-66977.79+45400</f>
        <v>1849877.0999999996</v>
      </c>
      <c r="N20" s="30">
        <f t="shared" si="0"/>
        <v>1344031.1100000003</v>
      </c>
      <c r="O20" s="29">
        <f>M20/$M$26</f>
        <v>0.37862868477466555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1"/>
        <v>20000</v>
      </c>
      <c r="M21" s="30"/>
      <c r="N21" s="30">
        <f t="shared" si="0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1"/>
        <v>239501.9</v>
      </c>
      <c r="M22" s="30">
        <f>46662.18+46662.18</f>
        <v>93324.36</v>
      </c>
      <c r="N22" s="30">
        <f t="shared" si="0"/>
        <v>146177.53999999998</v>
      </c>
      <c r="O22" s="29">
        <f>M22/$M$26</f>
        <v>1.9101420134471317E-2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9500</v>
      </c>
      <c r="I26" s="36">
        <f t="shared" si="2"/>
        <v>9500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4885728.88</v>
      </c>
      <c r="N26" s="36">
        <f t="shared" si="2"/>
        <v>2944141.6600000006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642286.80000000005</v>
      </c>
      <c r="N31" s="30">
        <f t="shared" ref="N31:N99" si="3">L31-M31</f>
        <v>142285.24</v>
      </c>
      <c r="O31" s="40">
        <f t="shared" ref="O31:O41" si="4">M31/$M$138</f>
        <v>0.14366341213328682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>
        <v>2000</v>
      </c>
      <c r="I32" s="30"/>
      <c r="J32" s="46"/>
      <c r="K32" s="46"/>
      <c r="L32" s="30">
        <f>C32+D32-E32+F32-G32+H32-I32+J32-K32</f>
        <v>10700</v>
      </c>
      <c r="M32" s="30">
        <v>8625</v>
      </c>
      <c r="N32" s="30">
        <f t="shared" si="3"/>
        <v>2075</v>
      </c>
      <c r="O32" s="40">
        <f t="shared" si="4"/>
        <v>1.9291956952090543E-3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>
        <v>30000</v>
      </c>
      <c r="I33" s="30"/>
      <c r="J33" s="46"/>
      <c r="K33" s="46"/>
      <c r="L33" s="30">
        <f t="shared" ref="L33:L41" si="5">C33+D33-E33+F33-G33+H33-I33+J33-K33</f>
        <v>311100</v>
      </c>
      <c r="M33" s="30">
        <v>240015.13</v>
      </c>
      <c r="N33" s="30">
        <f t="shared" si="3"/>
        <v>71084.87</v>
      </c>
      <c r="O33" s="40">
        <f t="shared" si="4"/>
        <v>5.3685351371714957E-2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>
        <v>110000</v>
      </c>
      <c r="I34" s="30"/>
      <c r="J34" s="46"/>
      <c r="K34" s="46"/>
      <c r="L34" s="30">
        <f t="shared" si="5"/>
        <v>647000</v>
      </c>
      <c r="M34" s="30">
        <v>585185.16</v>
      </c>
      <c r="N34" s="30">
        <f t="shared" si="3"/>
        <v>61814.839999999967</v>
      </c>
      <c r="O34" s="40">
        <f t="shared" si="4"/>
        <v>0.13089121061706918</v>
      </c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17500</v>
      </c>
      <c r="M35" s="30"/>
      <c r="N35" s="30">
        <f t="shared" si="3"/>
        <v>17500</v>
      </c>
      <c r="O35" s="40">
        <f t="shared" si="4"/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34510.800000000003</v>
      </c>
      <c r="M36" s="30">
        <v>12544.05</v>
      </c>
      <c r="N36" s="30">
        <f t="shared" si="3"/>
        <v>21966.750000000004</v>
      </c>
      <c r="O36" s="40">
        <f t="shared" si="4"/>
        <v>2.8057886678825661E-3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87401.15</v>
      </c>
      <c r="M37" s="30">
        <v>70200.289999999994</v>
      </c>
      <c r="N37" s="30">
        <f t="shared" si="3"/>
        <v>17200.86</v>
      </c>
      <c r="O37" s="40">
        <f t="shared" si="4"/>
        <v>1.5702040263237935E-2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8190.84</v>
      </c>
      <c r="M38" s="30">
        <v>6579.23</v>
      </c>
      <c r="N38" s="30">
        <f t="shared" si="3"/>
        <v>1611.6100000000006</v>
      </c>
      <c r="O38" s="40">
        <f t="shared" si="4"/>
        <v>1.4716083702945235E-3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2010.58</v>
      </c>
      <c r="N39" s="30">
        <f t="shared" si="3"/>
        <v>65570.429999999993</v>
      </c>
      <c r="O39" s="40">
        <f t="shared" si="4"/>
        <v>4.4971620647807765E-4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67581.009999999995</v>
      </c>
      <c r="M40" s="30">
        <f>60946+256.49</f>
        <v>61202.49</v>
      </c>
      <c r="N40" s="30">
        <f t="shared" si="3"/>
        <v>6378.5199999999968</v>
      </c>
      <c r="O40" s="40">
        <f t="shared" si="4"/>
        <v>1.3689458579023209E-2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5"/>
        <v>4400</v>
      </c>
      <c r="M41" s="30">
        <v>232.33</v>
      </c>
      <c r="N41" s="30">
        <f t="shared" si="3"/>
        <v>4167.67</v>
      </c>
      <c r="O41" s="40">
        <f t="shared" si="4"/>
        <v>5.1966380970193574E-5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10594.17</v>
      </c>
      <c r="N45" s="30">
        <f t="shared" si="3"/>
        <v>3155.83</v>
      </c>
      <c r="O45" s="40">
        <f t="shared" ref="O45:O54" si="7">M45/$M$138</f>
        <v>2.3696495256014961E-3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10615.44</v>
      </c>
      <c r="N46" s="30">
        <f t="shared" si="3"/>
        <v>15484.56</v>
      </c>
      <c r="O46" s="40">
        <f t="shared" si="7"/>
        <v>2.3744070899420293E-3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3060</v>
      </c>
      <c r="N48" s="30">
        <f t="shared" si="3"/>
        <v>4940</v>
      </c>
      <c r="O48" s="40">
        <f t="shared" si="7"/>
        <v>6.8444508143069053E-4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2547</v>
      </c>
      <c r="N49" s="30">
        <f t="shared" si="3"/>
        <v>11703</v>
      </c>
      <c r="O49" s="40">
        <f t="shared" si="7"/>
        <v>5.6969987660260421E-4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>
        <v>632000</v>
      </c>
      <c r="J50" s="46"/>
      <c r="K50" s="46"/>
      <c r="L50" s="30">
        <f t="shared" si="6"/>
        <v>922520.72</v>
      </c>
      <c r="M50" s="30">
        <v>797358.93</v>
      </c>
      <c r="N50" s="30">
        <f t="shared" si="3"/>
        <v>125161.78999999992</v>
      </c>
      <c r="O50" s="40">
        <f t="shared" si="7"/>
        <v>0.17834914959913017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>
        <v>205000</v>
      </c>
      <c r="J51" s="46"/>
      <c r="K51" s="46"/>
      <c r="L51" s="30">
        <f t="shared" si="6"/>
        <v>774342.7</v>
      </c>
      <c r="M51" s="30">
        <v>442694.31</v>
      </c>
      <c r="N51" s="30">
        <f t="shared" si="3"/>
        <v>331648.38999999996</v>
      </c>
      <c r="O51" s="40">
        <f t="shared" si="7"/>
        <v>9.9019589234265806E-2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f>94679.24+122967.62+49876.8</f>
        <v>267523.65999999997</v>
      </c>
      <c r="N52" s="30">
        <f t="shared" si="3"/>
        <v>364061.71</v>
      </c>
      <c r="O52" s="40">
        <f t="shared" si="7"/>
        <v>5.9838318056645863E-2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>
        <v>130000</v>
      </c>
      <c r="I53" s="30"/>
      <c r="J53" s="46"/>
      <c r="K53" s="46"/>
      <c r="L53" s="30">
        <f t="shared" si="6"/>
        <v>150750</v>
      </c>
      <c r="M53" s="30">
        <f>34474.52+70</f>
        <v>34544.519999999997</v>
      </c>
      <c r="N53" s="30">
        <f t="shared" si="3"/>
        <v>116205.48000000001</v>
      </c>
      <c r="O53" s="40">
        <f t="shared" si="7"/>
        <v>7.7267407857464429E-3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>
        <v>20000</v>
      </c>
      <c r="I54" s="30"/>
      <c r="J54" s="46"/>
      <c r="K54" s="46"/>
      <c r="L54" s="30">
        <f t="shared" si="6"/>
        <v>27500</v>
      </c>
      <c r="M54" s="30"/>
      <c r="N54" s="30">
        <f t="shared" si="3"/>
        <v>27500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v>77142.84</v>
      </c>
      <c r="N55" s="30">
        <f t="shared" si="3"/>
        <v>12857.160000000003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4.6971721274655234E-4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1.8538172663063929E-4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4.7642745864293165E-4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>
        <v>70000</v>
      </c>
      <c r="I63" s="30"/>
      <c r="J63" s="46"/>
      <c r="K63" s="46"/>
      <c r="L63" s="30">
        <f t="shared" si="6"/>
        <v>110000</v>
      </c>
      <c r="M63" s="30"/>
      <c r="N63" s="30">
        <f t="shared" si="3"/>
        <v>110000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>
        <v>70000</v>
      </c>
      <c r="I64" s="30"/>
      <c r="J64" s="46"/>
      <c r="K64" s="46"/>
      <c r="L64" s="30">
        <f t="shared" si="6"/>
        <v>95750</v>
      </c>
      <c r="M64" s="30"/>
      <c r="N64" s="30">
        <f t="shared" si="3"/>
        <v>95750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40900</v>
      </c>
      <c r="N67" s="30">
        <f t="shared" si="3"/>
        <v>62100</v>
      </c>
      <c r="O67" s="40">
        <f t="shared" si="9"/>
        <v>9.1483019053971385E-3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49500</v>
      </c>
      <c r="N68" s="30">
        <f t="shared" si="3"/>
        <v>4500</v>
      </c>
      <c r="O68" s="40">
        <f t="shared" si="9"/>
        <v>1.1071905729025876E-2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1450+300+750</f>
        <v>2500</v>
      </c>
      <c r="N69" s="30">
        <f t="shared" si="3"/>
        <v>5000</v>
      </c>
      <c r="O69" s="40">
        <f t="shared" si="9"/>
        <v>5.5918715803160988E-4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v>7800</v>
      </c>
      <c r="N71" s="30">
        <f t="shared" si="3"/>
        <v>12700</v>
      </c>
      <c r="O71" s="40">
        <f t="shared" si="9"/>
        <v>1.7446639330586228E-3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>
        <v>4758.1000000000004</v>
      </c>
      <c r="N74" s="30">
        <f t="shared" si="3"/>
        <v>3491.8999999999996</v>
      </c>
      <c r="O74" s="40">
        <f t="shared" si="9"/>
        <v>1.0642673666520813E-3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1183.8900000000001</v>
      </c>
      <c r="N75" s="30">
        <f t="shared" si="3"/>
        <v>1316.11</v>
      </c>
      <c r="O75" s="40">
        <f t="shared" si="9"/>
        <v>2.6480643380881707E-4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>
        <v>63000</v>
      </c>
      <c r="I76" s="30"/>
      <c r="J76" s="46"/>
      <c r="K76" s="46"/>
      <c r="L76" s="30">
        <f t="shared" si="6"/>
        <v>81251.070000000007</v>
      </c>
      <c r="M76" s="30">
        <v>340.6</v>
      </c>
      <c r="N76" s="30">
        <f t="shared" si="3"/>
        <v>80910.47</v>
      </c>
      <c r="O76" s="40">
        <f t="shared" si="9"/>
        <v>7.6183658410226539E-5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>
        <v>415</v>
      </c>
      <c r="N77" s="30">
        <f t="shared" si="3"/>
        <v>49585</v>
      </c>
      <c r="O77" s="40">
        <f t="shared" si="9"/>
        <v>9.2825068233247238E-5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9.578831282108834E-4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>
        <v>30000</v>
      </c>
      <c r="I79" s="30"/>
      <c r="J79" s="46"/>
      <c r="K79" s="46"/>
      <c r="L79" s="30">
        <f t="shared" si="6"/>
        <v>56000</v>
      </c>
      <c r="M79" s="30">
        <v>9116.2099999999991</v>
      </c>
      <c r="N79" s="30">
        <f t="shared" si="3"/>
        <v>46883.79</v>
      </c>
      <c r="O79" s="40">
        <f t="shared" si="9"/>
        <v>2.0390670247677368E-3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v>34084.5</v>
      </c>
      <c r="N83" s="30">
        <f t="shared" si="3"/>
        <v>112699.6</v>
      </c>
      <c r="O83" s="40">
        <f t="shared" ref="O83:O119" si="11">M83/$M$138</f>
        <v>7.6238458751713631E-3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v>624.1</v>
      </c>
      <c r="N87" s="30">
        <f t="shared" si="3"/>
        <v>4375.8999999999996</v>
      </c>
      <c r="O87" s="40">
        <f t="shared" si="11"/>
        <v>1.3959548213101109E-4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v>28890.66</v>
      </c>
      <c r="N88" s="30">
        <f t="shared" si="3"/>
        <v>4909.34</v>
      </c>
      <c r="O88" s="40">
        <f t="shared" si="11"/>
        <v>6.4621144236230044E-3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2291</v>
      </c>
      <c r="N89" s="30">
        <f t="shared" si="3"/>
        <v>2959</v>
      </c>
      <c r="O89" s="40">
        <f t="shared" si="11"/>
        <v>5.1243911162016727E-4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>
        <v>5000</v>
      </c>
      <c r="I90" s="30"/>
      <c r="J90" s="46"/>
      <c r="K90" s="46"/>
      <c r="L90" s="30">
        <f t="shared" si="10"/>
        <v>10500</v>
      </c>
      <c r="M90" s="30">
        <v>8833.73</v>
      </c>
      <c r="N90" s="30">
        <f t="shared" si="3"/>
        <v>1666.2700000000004</v>
      </c>
      <c r="O90" s="40">
        <f t="shared" si="11"/>
        <v>1.9758833494074291E-3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1378.96</v>
      </c>
      <c r="N91" s="30">
        <f t="shared" si="3"/>
        <v>1671.04</v>
      </c>
      <c r="O91" s="40">
        <f t="shared" si="11"/>
        <v>3.0843868937570752E-4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2.2367486321264395E-6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>
        <v>95</v>
      </c>
      <c r="N94" s="30">
        <f t="shared" si="3"/>
        <v>2605</v>
      </c>
      <c r="O94" s="40">
        <f t="shared" si="11"/>
        <v>2.1249112005201178E-5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>
        <v>75</v>
      </c>
      <c r="N95" s="30">
        <f t="shared" si="3"/>
        <v>2725</v>
      </c>
      <c r="O95" s="40">
        <f t="shared" si="11"/>
        <v>1.6775614740948295E-5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4787.82</v>
      </c>
      <c r="N96" s="30">
        <f t="shared" si="3"/>
        <v>3712.1800000000003</v>
      </c>
      <c r="O96" s="40">
        <f t="shared" si="11"/>
        <v>1.0709149835867609E-3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820.91</v>
      </c>
      <c r="N97" s="30">
        <f t="shared" si="3"/>
        <v>5179.09</v>
      </c>
      <c r="O97" s="40">
        <f t="shared" si="11"/>
        <v>1.8361693195989155E-4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9439.5</v>
      </c>
      <c r="N98" s="30">
        <f t="shared" si="3"/>
        <v>8060.5</v>
      </c>
      <c r="O98" s="40">
        <f t="shared" si="11"/>
        <v>2.1113788712957527E-3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989.11</v>
      </c>
      <c r="N99" s="30">
        <f t="shared" si="3"/>
        <v>2010.8899999999999</v>
      </c>
      <c r="O99" s="40">
        <f t="shared" si="11"/>
        <v>2.2123904395225828E-4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4.2475856524081088E-5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>
        <v>200000</v>
      </c>
      <c r="I101" s="30"/>
      <c r="J101" s="46"/>
      <c r="K101" s="46"/>
      <c r="L101" s="30">
        <f t="shared" si="10"/>
        <v>250345</v>
      </c>
      <c r="M101" s="30"/>
      <c r="N101" s="30">
        <f t="shared" si="12"/>
        <v>250345</v>
      </c>
      <c r="O101" s="40">
        <f t="shared" si="11"/>
        <v>0</v>
      </c>
    </row>
    <row r="102" spans="1:15" ht="15.95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f>158+237.75</f>
        <v>395.75</v>
      </c>
      <c r="N104" s="30">
        <f t="shared" si="12"/>
        <v>1104.25</v>
      </c>
      <c r="O104" s="40">
        <f t="shared" si="11"/>
        <v>8.8519327116403854E-5</v>
      </c>
    </row>
    <row r="105" spans="1:15" ht="15.95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>
        <v>3000</v>
      </c>
      <c r="I108" s="30"/>
      <c r="J108" s="46"/>
      <c r="K108" s="46"/>
      <c r="L108" s="30">
        <f t="shared" si="10"/>
        <v>4800</v>
      </c>
      <c r="M108" s="30">
        <f>683+429.15+300</f>
        <v>1412.15</v>
      </c>
      <c r="N108" s="30">
        <f t="shared" si="12"/>
        <v>3387.85</v>
      </c>
      <c r="O108" s="40">
        <f t="shared" si="11"/>
        <v>3.1586245808573518E-4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11700+765525.48+7000</f>
        <v>784225.48</v>
      </c>
      <c r="N110" s="30">
        <f t="shared" si="12"/>
        <v>81596.199999999953</v>
      </c>
      <c r="O110" s="40">
        <f t="shared" si="11"/>
        <v>0.17541152696687004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f>75+110</f>
        <v>185</v>
      </c>
      <c r="N111" s="30">
        <f t="shared" si="12"/>
        <v>1315</v>
      </c>
      <c r="O111" s="40">
        <f t="shared" si="11"/>
        <v>4.1379849694339132E-5</v>
      </c>
    </row>
    <row r="112" spans="1:15" ht="15.95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1961.3</v>
      </c>
      <c r="N113" s="30">
        <f t="shared" si="12"/>
        <v>4638.7</v>
      </c>
      <c r="O113" s="40">
        <f t="shared" si="11"/>
        <v>4.3869350921895859E-4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>
        <v>2000</v>
      </c>
      <c r="I114" s="30"/>
      <c r="J114" s="46"/>
      <c r="K114" s="46"/>
      <c r="L114" s="30">
        <f t="shared" si="10"/>
        <v>4000</v>
      </c>
      <c r="M114" s="30">
        <v>1947.37</v>
      </c>
      <c r="N114" s="30">
        <f t="shared" si="12"/>
        <v>2052.63</v>
      </c>
      <c r="O114" s="40">
        <f t="shared" si="11"/>
        <v>4.3557771837440644E-4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18329</v>
      </c>
      <c r="N115" s="30">
        <f t="shared" si="12"/>
        <v>6922.8999999999942</v>
      </c>
      <c r="O115" s="40">
        <f t="shared" si="11"/>
        <v>4.0997365678245509E-3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726.44</v>
      </c>
      <c r="N116" s="30">
        <f t="shared" si="12"/>
        <v>1273.56</v>
      </c>
      <c r="O116" s="40">
        <f t="shared" si="11"/>
        <v>1.624863676321931E-4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104+442+660</f>
        <v>1206</v>
      </c>
      <c r="N117" s="30">
        <f t="shared" si="12"/>
        <v>8294</v>
      </c>
      <c r="O117" s="40">
        <f t="shared" si="11"/>
        <v>2.697518850344486E-4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>
        <v>100000</v>
      </c>
      <c r="I118" s="30"/>
      <c r="J118" s="46"/>
      <c r="K118" s="46"/>
      <c r="L118" s="30">
        <f t="shared" si="10"/>
        <v>176000</v>
      </c>
      <c r="M118" s="30">
        <f>819.13+346.18</f>
        <v>1165.31</v>
      </c>
      <c r="N118" s="30">
        <f t="shared" si="12"/>
        <v>174834.69</v>
      </c>
      <c r="O118" s="40">
        <f t="shared" si="11"/>
        <v>2.6065055485032613E-4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>
        <v>2000</v>
      </c>
      <c r="I119" s="30"/>
      <c r="J119" s="46"/>
      <c r="K119" s="46"/>
      <c r="L119" s="30">
        <f t="shared" si="10"/>
        <v>9500</v>
      </c>
      <c r="M119" s="30">
        <v>5670.51</v>
      </c>
      <c r="N119" s="30">
        <f t="shared" si="12"/>
        <v>3829.49</v>
      </c>
      <c r="O119" s="40">
        <f t="shared" si="11"/>
        <v>1.2683505485959297E-3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5.5560836022020758E-4</v>
      </c>
    </row>
    <row r="125" spans="1:15" ht="15.95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f>9990+14449</f>
        <v>24439</v>
      </c>
      <c r="N128" s="30">
        <f t="shared" si="12"/>
        <v>15561</v>
      </c>
      <c r="O128" s="40">
        <f>+M128/M138</f>
        <v>5.4663899820538058E-3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2.0703345338962324E-3</v>
      </c>
    </row>
    <row r="130" spans="1:15" ht="15.95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>
        <v>22230.83</v>
      </c>
      <c r="N134" s="30">
        <f t="shared" si="12"/>
        <v>163669.16999999998</v>
      </c>
      <c r="O134" s="40">
        <f>M134/$M$138</f>
        <v>4.9724778593535418E-3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>
        <v>1208</v>
      </c>
      <c r="N135" s="30">
        <f t="shared" si="12"/>
        <v>5962</v>
      </c>
      <c r="O135" s="40">
        <f>M135/$M$138</f>
        <v>2.7019923476087393E-4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100605.72</v>
      </c>
      <c r="N136" s="30">
        <f t="shared" si="12"/>
        <v>63094.28</v>
      </c>
      <c r="O136" s="40">
        <f>M136/$M$138</f>
        <v>2.2502970659409559E-2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837000</v>
      </c>
      <c r="I138" s="36">
        <f t="shared" si="14"/>
        <v>837000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4470775.0599999996</v>
      </c>
      <c r="N138" s="36">
        <f t="shared" si="14"/>
        <v>3359095.4800000004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4885728.88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-4470775.0599999996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2230810.38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>
        <v>272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6815.06+638.71+2994.02</f>
        <v>10447.790000000001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2832.13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9903.4699999999993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37572.949999999997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2268383.33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279</v>
      </c>
      <c r="B170" s="60"/>
      <c r="C170" s="73">
        <f>C155+C165</f>
        <v>2268383.33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1:12" x14ac:dyDescent="0.2">
      <c r="C177" s="15"/>
      <c r="D177" s="4"/>
    </row>
    <row r="178" spans="1:12" x14ac:dyDescent="0.2">
      <c r="C178" s="15"/>
      <c r="D178" s="4"/>
    </row>
    <row r="179" spans="1:12" x14ac:dyDescent="0.2">
      <c r="C179" s="15"/>
      <c r="D179" s="4"/>
    </row>
    <row r="180" spans="1:12" x14ac:dyDescent="0.2">
      <c r="D180" s="4"/>
    </row>
    <row r="181" spans="1:12" x14ac:dyDescent="0.2">
      <c r="D181" s="4"/>
    </row>
    <row r="182" spans="1:12" x14ac:dyDescent="0.2">
      <c r="A182" s="11" t="s">
        <v>242</v>
      </c>
      <c r="C182" s="112" t="s">
        <v>231</v>
      </c>
      <c r="F182" s="11" t="s">
        <v>280</v>
      </c>
      <c r="I182" s="13" t="s">
        <v>240</v>
      </c>
      <c r="K182" s="79"/>
    </row>
    <row r="183" spans="1:12" x14ac:dyDescent="0.2">
      <c r="A183" s="11" t="s">
        <v>90</v>
      </c>
      <c r="C183" s="112" t="s">
        <v>91</v>
      </c>
      <c r="F183" s="11" t="s">
        <v>281</v>
      </c>
      <c r="I183" s="11" t="s">
        <v>252</v>
      </c>
    </row>
    <row r="187" spans="1:12" x14ac:dyDescent="0.2">
      <c r="I187" s="4"/>
      <c r="K187" s="71"/>
      <c r="L187" s="4"/>
    </row>
    <row r="188" spans="1:12" x14ac:dyDescent="0.2">
      <c r="I188" s="4"/>
      <c r="K188" s="71"/>
      <c r="L188" s="4"/>
    </row>
    <row r="189" spans="1:12" x14ac:dyDescent="0.2">
      <c r="G189" s="63"/>
      <c r="I189" s="63"/>
      <c r="K189" s="72"/>
      <c r="L189" s="4"/>
    </row>
    <row r="190" spans="1:12" x14ac:dyDescent="0.2">
      <c r="G190" s="63"/>
      <c r="I190" s="63"/>
      <c r="K190" s="72"/>
      <c r="L190" s="4"/>
    </row>
    <row r="191" spans="1:12" x14ac:dyDescent="0.2">
      <c r="G191" s="63"/>
      <c r="L191" s="4"/>
    </row>
    <row r="192" spans="1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verticalDpi="360" r:id="rId1"/>
  <rowBreaks count="2" manualBreakCount="2">
    <brk id="55" max="14" man="1"/>
    <brk id="119" max="16383" man="1"/>
  </rowBreaks>
  <ignoredErrors>
    <ignoredError sqref="L1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abSelected="1"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282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13" t="s">
        <v>13</v>
      </c>
      <c r="J7" s="66" t="s">
        <v>12</v>
      </c>
      <c r="K7" s="114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>
        <v>4000</v>
      </c>
      <c r="I10" s="30"/>
      <c r="J10" s="46"/>
      <c r="K10" s="46"/>
      <c r="L10" s="30">
        <f>C10+D10-E10+F10-G10+H10+J10-K10</f>
        <v>37000</v>
      </c>
      <c r="M10" s="30">
        <v>35000</v>
      </c>
      <c r="N10" s="30">
        <f t="shared" ref="N10:N22" si="0">L10-M10</f>
        <v>2000</v>
      </c>
      <c r="O10" s="29">
        <f>M10/$M$26</f>
        <v>6.8197125380880701E-3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ref="L11:L22" si="1">C11+D11-E11+F11-G11+J11-K11</f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>
        <v>9500</v>
      </c>
      <c r="J12" s="46"/>
      <c r="K12" s="46"/>
      <c r="L12" s="30">
        <f>C12+D12-E12+F12-G12-I12+J12-K12</f>
        <v>240500</v>
      </c>
      <c r="M12" s="30">
        <f>24490+3340</f>
        <v>27830</v>
      </c>
      <c r="N12" s="30">
        <f t="shared" si="0"/>
        <v>212670</v>
      </c>
      <c r="O12" s="29">
        <f>M12/$M$26</f>
        <v>5.4226457124283145E-3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1"/>
        <v>3500</v>
      </c>
      <c r="M13" s="30">
        <f>8000+500</f>
        <v>8500</v>
      </c>
      <c r="N13" s="30">
        <f t="shared" si="0"/>
        <v>-5000</v>
      </c>
      <c r="O13" s="29">
        <f>M13/$M$26</f>
        <v>1.6562159021071027E-3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>
        <v>5500</v>
      </c>
      <c r="I15" s="30"/>
      <c r="J15" s="46"/>
      <c r="K15" s="46"/>
      <c r="L15" s="30">
        <f>C15+D15-E15+F15-G15+H15+J15-K15</f>
        <v>8800</v>
      </c>
      <c r="M15" s="30">
        <f>6608.94+1100.32+1094.26</f>
        <v>8803.5199999999986</v>
      </c>
      <c r="N15" s="30">
        <f t="shared" si="0"/>
        <v>-3.5199999999986176</v>
      </c>
      <c r="O15" s="29">
        <f>M15/$M$26</f>
        <v>1.7153564492374022E-3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1"/>
        <v>3103145.92</v>
      </c>
      <c r="M18" s="30">
        <f>1148712.35+247708.11+272206.72+247708.11+435657.98+264286.78+247708.11+249709.38+30663.54-11254.24-36923.56</f>
        <v>3096183.2799999993</v>
      </c>
      <c r="N18" s="30">
        <f t="shared" si="0"/>
        <v>6962.640000000596</v>
      </c>
      <c r="O18" s="29">
        <f>M18/$M$26</f>
        <v>0.60328799813813261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1"/>
        <v>0</v>
      </c>
      <c r="M19" s="30"/>
      <c r="N19" s="30">
        <f t="shared" si="0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1"/>
        <v>3193908.21</v>
      </c>
      <c r="M20" s="30">
        <f>1068728.91+549754.89+63716.67+59116.65+130137.77-66977.79+45400+4500+36900+4000-41715.13</f>
        <v>1853561.9699999997</v>
      </c>
      <c r="N20" s="30">
        <f t="shared" si="0"/>
        <v>1340346.2400000002</v>
      </c>
      <c r="O20" s="29">
        <f>M20/$M$26</f>
        <v>0.36116456591234919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1"/>
        <v>20000</v>
      </c>
      <c r="M21" s="30">
        <v>8978</v>
      </c>
      <c r="N21" s="30">
        <f t="shared" si="0"/>
        <v>11022</v>
      </c>
      <c r="O21" s="29">
        <f>M21/$M$26</f>
        <v>1.7493536904844198E-3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1"/>
        <v>239501.9</v>
      </c>
      <c r="M22" s="30">
        <f>46662.18+46662.18</f>
        <v>93324.36</v>
      </c>
      <c r="N22" s="30">
        <f t="shared" si="0"/>
        <v>146177.53999999998</v>
      </c>
      <c r="O22" s="29">
        <f>M22/$M$26</f>
        <v>1.8184151657172708E-2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9500</v>
      </c>
      <c r="I26" s="36">
        <f t="shared" si="2"/>
        <v>9500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5132181.13</v>
      </c>
      <c r="N26" s="36">
        <f t="shared" si="2"/>
        <v>2697689.4100000011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704794.2</v>
      </c>
      <c r="N31" s="30">
        <f t="shared" ref="N31:N99" si="3">L31-M31</f>
        <v>79777.840000000084</v>
      </c>
      <c r="O31" s="40">
        <f t="shared" ref="O31:O41" si="4">M31/$M$138</f>
        <v>0.1441446937324635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>
        <v>2000</v>
      </c>
      <c r="I32" s="30"/>
      <c r="J32" s="46"/>
      <c r="K32" s="46"/>
      <c r="L32" s="30">
        <f>C32+D32-E32+F32-G32+H32-I32+J32-K32</f>
        <v>10700</v>
      </c>
      <c r="M32" s="30">
        <v>9750</v>
      </c>
      <c r="N32" s="30">
        <f t="shared" si="3"/>
        <v>950</v>
      </c>
      <c r="O32" s="40">
        <f t="shared" si="4"/>
        <v>1.9940725447109512E-3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>
        <v>30000</v>
      </c>
      <c r="I33" s="30"/>
      <c r="J33" s="46"/>
      <c r="K33" s="46"/>
      <c r="L33" s="30">
        <f t="shared" ref="L33:L41" si="5">C33+D33-E33+F33-G33+H33-I33+J33-K33</f>
        <v>311100</v>
      </c>
      <c r="M33" s="30">
        <v>275225</v>
      </c>
      <c r="N33" s="30">
        <f t="shared" si="3"/>
        <v>35875</v>
      </c>
      <c r="O33" s="40">
        <f t="shared" si="4"/>
        <v>5.6289088832622729E-2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>
        <v>110000</v>
      </c>
      <c r="I34" s="30"/>
      <c r="J34" s="46"/>
      <c r="K34" s="46"/>
      <c r="L34" s="30">
        <f t="shared" si="5"/>
        <v>647000</v>
      </c>
      <c r="M34" s="30">
        <v>639085.16</v>
      </c>
      <c r="N34" s="30">
        <f t="shared" si="3"/>
        <v>7914.8399999999674</v>
      </c>
      <c r="O34" s="40">
        <f t="shared" si="4"/>
        <v>0.13070586372186724</v>
      </c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17500</v>
      </c>
      <c r="M35" s="30"/>
      <c r="N35" s="30">
        <f t="shared" si="3"/>
        <v>17500</v>
      </c>
      <c r="O35" s="40">
        <f t="shared" si="4"/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34510.800000000003</v>
      </c>
      <c r="M36" s="30">
        <v>12650.07</v>
      </c>
      <c r="N36" s="30">
        <f t="shared" si="3"/>
        <v>21860.730000000003</v>
      </c>
      <c r="O36" s="40">
        <f t="shared" si="4"/>
        <v>2.5871956180176067E-3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87401.15</v>
      </c>
      <c r="M37" s="30">
        <v>76856.02</v>
      </c>
      <c r="N37" s="30">
        <f t="shared" si="3"/>
        <v>10545.12999999999</v>
      </c>
      <c r="O37" s="40">
        <f t="shared" si="4"/>
        <v>1.5718613269513414E-2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8190.84</v>
      </c>
      <c r="M38" s="30">
        <v>7203.01</v>
      </c>
      <c r="N38" s="30">
        <f t="shared" si="3"/>
        <v>987.82999999999993</v>
      </c>
      <c r="O38" s="40">
        <f t="shared" si="4"/>
        <v>1.4731614851567622E-3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61867.29</v>
      </c>
      <c r="N39" s="30">
        <f t="shared" si="3"/>
        <v>5713.7199999999939</v>
      </c>
      <c r="O39" s="40">
        <f t="shared" si="4"/>
        <v>1.2653114297914913E-2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67581.009999999995</v>
      </c>
      <c r="M40" s="30">
        <v>62411.74</v>
      </c>
      <c r="N40" s="30">
        <f t="shared" si="3"/>
        <v>5169.2699999999968</v>
      </c>
      <c r="O40" s="40">
        <f t="shared" si="4"/>
        <v>1.2764465354014182E-2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5"/>
        <v>4400</v>
      </c>
      <c r="M41" s="30">
        <v>4167.68</v>
      </c>
      <c r="N41" s="30">
        <f t="shared" si="3"/>
        <v>232.31999999999971</v>
      </c>
      <c r="O41" s="40">
        <f t="shared" si="4"/>
        <v>8.5237500134778858E-4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11727.84</v>
      </c>
      <c r="N45" s="30">
        <f t="shared" si="3"/>
        <v>2022.1599999999999</v>
      </c>
      <c r="O45" s="40">
        <f t="shared" ref="O45:O54" si="7">M45/$M$138</f>
        <v>2.39858089771927E-3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11224.3</v>
      </c>
      <c r="N46" s="30">
        <f t="shared" si="3"/>
        <v>14875.7</v>
      </c>
      <c r="O46" s="40">
        <f t="shared" si="7"/>
        <v>2.2955967654973465E-3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3060</v>
      </c>
      <c r="N48" s="30">
        <f t="shared" si="3"/>
        <v>4940</v>
      </c>
      <c r="O48" s="40">
        <f t="shared" si="7"/>
        <v>6.2583199864774477E-4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2569.5</v>
      </c>
      <c r="N49" s="30">
        <f t="shared" si="3"/>
        <v>11680.5</v>
      </c>
      <c r="O49" s="40">
        <f t="shared" si="7"/>
        <v>5.2551481062920919E-4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>
        <v>632000</v>
      </c>
      <c r="J50" s="46"/>
      <c r="K50" s="46"/>
      <c r="L50" s="30">
        <f t="shared" si="6"/>
        <v>922520.72</v>
      </c>
      <c r="M50" s="30">
        <v>797358.93</v>
      </c>
      <c r="N50" s="30">
        <f t="shared" si="3"/>
        <v>125161.78999999992</v>
      </c>
      <c r="O50" s="40">
        <f t="shared" si="7"/>
        <v>0.16307605647108733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>
        <v>205000</v>
      </c>
      <c r="J51" s="46"/>
      <c r="K51" s="46"/>
      <c r="L51" s="30">
        <f t="shared" si="6"/>
        <v>774342.7</v>
      </c>
      <c r="M51" s="30">
        <v>517436.7</v>
      </c>
      <c r="N51" s="30">
        <f t="shared" si="3"/>
        <v>256905.99999999994</v>
      </c>
      <c r="O51" s="40">
        <f t="shared" si="7"/>
        <v>0.10582628893290638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v>267523.65999999997</v>
      </c>
      <c r="N52" s="30">
        <f t="shared" si="3"/>
        <v>364061.71</v>
      </c>
      <c r="O52" s="40">
        <f t="shared" si="7"/>
        <v>5.4714008765803825E-2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>
        <v>130000</v>
      </c>
      <c r="I53" s="30"/>
      <c r="J53" s="46"/>
      <c r="K53" s="46"/>
      <c r="L53" s="30">
        <f t="shared" si="6"/>
        <v>150750</v>
      </c>
      <c r="M53" s="30">
        <f>34474.52+70</f>
        <v>34544.519999999997</v>
      </c>
      <c r="N53" s="30">
        <f t="shared" si="3"/>
        <v>116205.48000000001</v>
      </c>
      <c r="O53" s="40">
        <f t="shared" si="7"/>
        <v>7.0650542463813687E-3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>
        <v>20000</v>
      </c>
      <c r="I54" s="30"/>
      <c r="J54" s="46"/>
      <c r="K54" s="46"/>
      <c r="L54" s="30">
        <f t="shared" si="6"/>
        <v>27500</v>
      </c>
      <c r="M54" s="30"/>
      <c r="N54" s="30">
        <f t="shared" si="3"/>
        <v>27500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v>89999.98</v>
      </c>
      <c r="N55" s="30">
        <f t="shared" si="3"/>
        <v>2.0000000004074536E-2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4.2949254809158954E-4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1.6950639231348065E-4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4.3562815592146939E-4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>
        <v>70000</v>
      </c>
      <c r="I63" s="30"/>
      <c r="J63" s="46"/>
      <c r="K63" s="46"/>
      <c r="L63" s="30">
        <f t="shared" si="6"/>
        <v>110000</v>
      </c>
      <c r="M63" s="30"/>
      <c r="N63" s="30">
        <f t="shared" si="3"/>
        <v>110000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>
        <v>70000</v>
      </c>
      <c r="I64" s="30"/>
      <c r="J64" s="46"/>
      <c r="K64" s="46"/>
      <c r="L64" s="30">
        <f t="shared" si="6"/>
        <v>95750</v>
      </c>
      <c r="M64" s="30"/>
      <c r="N64" s="30">
        <f t="shared" si="3"/>
        <v>95750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54400</v>
      </c>
      <c r="N67" s="30">
        <f t="shared" si="3"/>
        <v>48600</v>
      </c>
      <c r="O67" s="40">
        <f t="shared" si="9"/>
        <v>1.1125902198182129E-2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54000</v>
      </c>
      <c r="N68" s="30">
        <f t="shared" si="3"/>
        <v>0</v>
      </c>
      <c r="O68" s="40">
        <f t="shared" si="9"/>
        <v>1.1044094093783732E-2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1450+300+750</f>
        <v>2500</v>
      </c>
      <c r="N69" s="30">
        <f t="shared" si="3"/>
        <v>5000</v>
      </c>
      <c r="O69" s="40">
        <f t="shared" si="9"/>
        <v>5.1130065248998751E-4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>
        <v>14500</v>
      </c>
      <c r="N70" s="30">
        <f t="shared" si="3"/>
        <v>10040</v>
      </c>
      <c r="O70" s="40">
        <f t="shared" si="9"/>
        <v>2.9655437844419278E-3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v>7800</v>
      </c>
      <c r="N71" s="30">
        <f t="shared" si="3"/>
        <v>12700</v>
      </c>
      <c r="O71" s="40">
        <f t="shared" si="9"/>
        <v>1.595258035768761E-3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>
        <v>4758.1000000000004</v>
      </c>
      <c r="N74" s="30">
        <f t="shared" si="3"/>
        <v>3491.8999999999996</v>
      </c>
      <c r="O74" s="40">
        <f t="shared" si="9"/>
        <v>9.7312785384504399E-4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1254.25</v>
      </c>
      <c r="N75" s="30">
        <f t="shared" si="3"/>
        <v>1245.75</v>
      </c>
      <c r="O75" s="40">
        <f t="shared" si="9"/>
        <v>2.5651953735422674E-4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>
        <v>63000</v>
      </c>
      <c r="I76" s="30"/>
      <c r="J76" s="46"/>
      <c r="K76" s="46"/>
      <c r="L76" s="30">
        <f t="shared" si="6"/>
        <v>81251.070000000007</v>
      </c>
      <c r="M76" s="30">
        <v>340.6</v>
      </c>
      <c r="N76" s="30">
        <f t="shared" si="3"/>
        <v>80910.47</v>
      </c>
      <c r="O76" s="40">
        <f t="shared" si="9"/>
        <v>6.9659600895235905E-5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>
        <v>2747</v>
      </c>
      <c r="N77" s="30">
        <f t="shared" si="3"/>
        <v>47253</v>
      </c>
      <c r="O77" s="40">
        <f t="shared" si="9"/>
        <v>5.6181715695599827E-4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8.7585392731012865E-4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>
        <v>30000</v>
      </c>
      <c r="I79" s="30"/>
      <c r="J79" s="46"/>
      <c r="K79" s="46"/>
      <c r="L79" s="30">
        <f t="shared" si="6"/>
        <v>56000</v>
      </c>
      <c r="M79" s="30">
        <v>9436.2099999999991</v>
      </c>
      <c r="N79" s="30">
        <f t="shared" si="3"/>
        <v>46563.79</v>
      </c>
      <c r="O79" s="40">
        <f t="shared" si="9"/>
        <v>1.9298961320130179E-3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v>44780.03</v>
      </c>
      <c r="N83" s="30">
        <f t="shared" si="3"/>
        <v>102004.07</v>
      </c>
      <c r="O83" s="40">
        <f t="shared" ref="O83:O119" si="11">M83/$M$138</f>
        <v>9.1584234230084865E-3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v>624.1</v>
      </c>
      <c r="N87" s="30">
        <f t="shared" si="3"/>
        <v>4375.8999999999996</v>
      </c>
      <c r="O87" s="40">
        <f t="shared" si="11"/>
        <v>1.276410948876005E-4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v>28890.66</v>
      </c>
      <c r="N88" s="30">
        <f t="shared" si="3"/>
        <v>4909.34</v>
      </c>
      <c r="O88" s="40">
        <f t="shared" si="11"/>
        <v>5.9087253235465534E-3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2339</v>
      </c>
      <c r="N89" s="30">
        <f t="shared" si="3"/>
        <v>2911</v>
      </c>
      <c r="O89" s="40">
        <f t="shared" si="11"/>
        <v>4.7837289046963235E-4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>
        <v>5000</v>
      </c>
      <c r="I90" s="30"/>
      <c r="J90" s="46"/>
      <c r="K90" s="46"/>
      <c r="L90" s="30">
        <f t="shared" si="10"/>
        <v>10500</v>
      </c>
      <c r="M90" s="30">
        <v>8833.73</v>
      </c>
      <c r="N90" s="30">
        <f t="shared" si="3"/>
        <v>1666.2700000000004</v>
      </c>
      <c r="O90" s="40">
        <f t="shared" si="11"/>
        <v>1.806676765168151E-3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1378.96</v>
      </c>
      <c r="N91" s="30">
        <f t="shared" si="3"/>
        <v>1671.04</v>
      </c>
      <c r="O91" s="40">
        <f t="shared" si="11"/>
        <v>2.820252591030373E-4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2.04520260995995E-6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>
        <v>95</v>
      </c>
      <c r="N94" s="30">
        <f t="shared" si="3"/>
        <v>2605</v>
      </c>
      <c r="O94" s="40">
        <f t="shared" si="11"/>
        <v>1.9429424794619527E-5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>
        <v>75</v>
      </c>
      <c r="N95" s="30">
        <f t="shared" si="3"/>
        <v>2725</v>
      </c>
      <c r="O95" s="40">
        <f t="shared" si="11"/>
        <v>1.5339019574699626E-5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4927.82</v>
      </c>
      <c r="N96" s="30">
        <f t="shared" si="3"/>
        <v>3572.1800000000003</v>
      </c>
      <c r="O96" s="40">
        <f t="shared" si="11"/>
        <v>1.0078390325412841E-3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820.91</v>
      </c>
      <c r="N97" s="30">
        <f t="shared" si="3"/>
        <v>5179.09</v>
      </c>
      <c r="O97" s="40">
        <f t="shared" si="11"/>
        <v>1.6789272745422226E-4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14004</v>
      </c>
      <c r="N98" s="30">
        <f t="shared" si="3"/>
        <v>3496</v>
      </c>
      <c r="O98" s="40">
        <f t="shared" si="11"/>
        <v>2.8641017349879143E-3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989.11</v>
      </c>
      <c r="N99" s="30">
        <f t="shared" si="3"/>
        <v>2010.8899999999999</v>
      </c>
      <c r="O99" s="40">
        <f t="shared" si="11"/>
        <v>2.0229303535374864E-4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3.8838397563139456E-5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>
        <v>200000</v>
      </c>
      <c r="I101" s="30"/>
      <c r="J101" s="46"/>
      <c r="K101" s="46"/>
      <c r="L101" s="30">
        <f t="shared" si="10"/>
        <v>250345</v>
      </c>
      <c r="M101" s="30"/>
      <c r="N101" s="30">
        <f t="shared" si="12"/>
        <v>250345</v>
      </c>
      <c r="O101" s="40">
        <f t="shared" si="11"/>
        <v>0</v>
      </c>
    </row>
    <row r="102" spans="1:15" ht="15.95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f>158+237.75</f>
        <v>395.75</v>
      </c>
      <c r="N104" s="30">
        <f t="shared" si="12"/>
        <v>1104.25</v>
      </c>
      <c r="O104" s="40">
        <f t="shared" si="11"/>
        <v>8.0938893289165026E-5</v>
      </c>
    </row>
    <row r="105" spans="1:15" ht="15.95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>
        <v>3000</v>
      </c>
      <c r="I108" s="30"/>
      <c r="J108" s="46"/>
      <c r="K108" s="46"/>
      <c r="L108" s="30">
        <f t="shared" si="10"/>
        <v>4800</v>
      </c>
      <c r="M108" s="30">
        <f>683+429.15+300</f>
        <v>1412.15</v>
      </c>
      <c r="N108" s="30">
        <f t="shared" si="12"/>
        <v>3387.85</v>
      </c>
      <c r="O108" s="40">
        <f t="shared" si="11"/>
        <v>2.8881328656549438E-4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11700+765525.48+7000</f>
        <v>784225.48</v>
      </c>
      <c r="N110" s="30">
        <f t="shared" si="12"/>
        <v>81596.199999999953</v>
      </c>
      <c r="O110" s="40">
        <f t="shared" si="11"/>
        <v>0.16038999984930946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f>75+110</f>
        <v>185</v>
      </c>
      <c r="N111" s="30">
        <f t="shared" si="12"/>
        <v>1315</v>
      </c>
      <c r="O111" s="40">
        <f t="shared" si="11"/>
        <v>3.783624828425908E-5</v>
      </c>
    </row>
    <row r="112" spans="1:15" ht="15.95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1961.3</v>
      </c>
      <c r="N113" s="30">
        <f t="shared" si="12"/>
        <v>4638.7</v>
      </c>
      <c r="O113" s="40">
        <f t="shared" si="11"/>
        <v>4.01125587891445E-4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>
        <v>2000</v>
      </c>
      <c r="I114" s="30"/>
      <c r="J114" s="46"/>
      <c r="K114" s="46"/>
      <c r="L114" s="30">
        <f t="shared" si="10"/>
        <v>4000</v>
      </c>
      <c r="M114" s="30">
        <v>1947.37</v>
      </c>
      <c r="N114" s="30">
        <f t="shared" si="12"/>
        <v>2052.63</v>
      </c>
      <c r="O114" s="40">
        <f t="shared" si="11"/>
        <v>3.9827662065577079E-4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18329</v>
      </c>
      <c r="N115" s="30">
        <f t="shared" si="12"/>
        <v>6922.8999999999942</v>
      </c>
      <c r="O115" s="40">
        <f t="shared" si="11"/>
        <v>3.7486518637955928E-3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726.44</v>
      </c>
      <c r="N116" s="30">
        <f t="shared" si="12"/>
        <v>1273.56</v>
      </c>
      <c r="O116" s="40">
        <f t="shared" si="11"/>
        <v>1.4857169839793062E-4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104+442+660</f>
        <v>1206</v>
      </c>
      <c r="N117" s="30">
        <f t="shared" si="12"/>
        <v>8294</v>
      </c>
      <c r="O117" s="40">
        <f t="shared" si="11"/>
        <v>2.4665143476117001E-4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>
        <v>100000</v>
      </c>
      <c r="I118" s="30"/>
      <c r="J118" s="46"/>
      <c r="K118" s="46"/>
      <c r="L118" s="30">
        <f t="shared" si="10"/>
        <v>176000</v>
      </c>
      <c r="M118" s="30">
        <v>27815.31</v>
      </c>
      <c r="N118" s="30">
        <f t="shared" si="12"/>
        <v>148184.69</v>
      </c>
      <c r="O118" s="40">
        <f t="shared" si="11"/>
        <v>5.6887944608845107E-3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>
        <v>2000</v>
      </c>
      <c r="I119" s="30"/>
      <c r="J119" s="46"/>
      <c r="K119" s="46"/>
      <c r="L119" s="30">
        <f t="shared" si="10"/>
        <v>9500</v>
      </c>
      <c r="M119" s="30">
        <v>6128.71</v>
      </c>
      <c r="N119" s="30">
        <f t="shared" si="12"/>
        <v>3371.29</v>
      </c>
      <c r="O119" s="40">
        <f t="shared" si="11"/>
        <v>1.2534453687687646E-3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5.0802832831405161E-4</v>
      </c>
    </row>
    <row r="125" spans="1:15" ht="15.95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f>9990+14449</f>
        <v>24439</v>
      </c>
      <c r="N128" s="30">
        <f t="shared" si="12"/>
        <v>15561</v>
      </c>
      <c r="O128" s="40">
        <f>+M128/M138</f>
        <v>4.998270658481122E-3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1.8930395357789299E-3</v>
      </c>
    </row>
    <row r="130" spans="1:15" ht="15.95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>
        <v>47026.83</v>
      </c>
      <c r="N134" s="30">
        <f t="shared" si="12"/>
        <v>138873.16999999998</v>
      </c>
      <c r="O134" s="40">
        <f>M134/$M$138</f>
        <v>9.6179395454142891E-3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>
        <v>2855.8</v>
      </c>
      <c r="N135" s="30">
        <f t="shared" si="12"/>
        <v>4314.2</v>
      </c>
      <c r="O135" s="40">
        <f>M135/$M$138</f>
        <v>5.840689613523626E-4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100605.72</v>
      </c>
      <c r="N136" s="30">
        <f t="shared" si="12"/>
        <v>63094.28</v>
      </c>
      <c r="O136" s="40">
        <f>M136/$M$138</f>
        <v>2.0575908112089997E-2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837000</v>
      </c>
      <c r="I138" s="36">
        <f t="shared" si="14"/>
        <v>837000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4889491.12</v>
      </c>
      <c r="N138" s="36">
        <f t="shared" si="14"/>
        <v>2940379.42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5132181.13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-4889491.12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2058546.5699999994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/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10383.33-90.96</f>
        <v>10292.370000000001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1962.73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3696.52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30069.179999999997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2088615.7499999993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283</v>
      </c>
      <c r="B170" s="60"/>
      <c r="C170" s="73">
        <f>C155+C165</f>
        <v>2088615.7499999993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1:12" x14ac:dyDescent="0.2">
      <c r="C177" s="15"/>
      <c r="D177" s="4"/>
    </row>
    <row r="178" spans="1:12" x14ac:dyDescent="0.2">
      <c r="C178" s="15"/>
      <c r="D178" s="4"/>
    </row>
    <row r="179" spans="1:12" x14ac:dyDescent="0.2">
      <c r="C179" s="15"/>
      <c r="D179" s="4"/>
    </row>
    <row r="180" spans="1:12" x14ac:dyDescent="0.2">
      <c r="D180" s="4"/>
    </row>
    <row r="181" spans="1:12" x14ac:dyDescent="0.2">
      <c r="D181" s="4"/>
    </row>
    <row r="182" spans="1:12" x14ac:dyDescent="0.2">
      <c r="A182" s="11" t="s">
        <v>242</v>
      </c>
      <c r="C182" s="112" t="s">
        <v>231</v>
      </c>
      <c r="F182" s="11" t="s">
        <v>280</v>
      </c>
      <c r="I182" s="13" t="s">
        <v>240</v>
      </c>
      <c r="K182" s="79"/>
    </row>
    <row r="183" spans="1:12" x14ac:dyDescent="0.2">
      <c r="A183" s="11" t="s">
        <v>90</v>
      </c>
      <c r="C183" s="112" t="s">
        <v>91</v>
      </c>
      <c r="F183" s="11" t="s">
        <v>281</v>
      </c>
      <c r="I183" s="11" t="s">
        <v>252</v>
      </c>
    </row>
    <row r="187" spans="1:12" x14ac:dyDescent="0.2">
      <c r="I187" s="4"/>
      <c r="K187" s="71"/>
      <c r="L187" s="4"/>
    </row>
    <row r="188" spans="1:12" x14ac:dyDescent="0.2">
      <c r="I188" s="4"/>
      <c r="K188" s="71"/>
      <c r="L188" s="4"/>
    </row>
    <row r="189" spans="1:12" x14ac:dyDescent="0.2">
      <c r="G189" s="63"/>
      <c r="I189" s="63"/>
      <c r="K189" s="72"/>
      <c r="L189" s="4"/>
    </row>
    <row r="190" spans="1:12" x14ac:dyDescent="0.2">
      <c r="G190" s="63"/>
      <c r="I190" s="63"/>
      <c r="K190" s="72"/>
      <c r="L190" s="4"/>
    </row>
    <row r="191" spans="1:12" x14ac:dyDescent="0.2">
      <c r="G191" s="63"/>
      <c r="L191" s="4"/>
    </row>
    <row r="192" spans="1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verticalDpi="360" r:id="rId1"/>
  <rowBreaks count="2" manualBreakCount="2">
    <brk id="55" max="14" man="1"/>
    <brk id="119" max="16383" man="1"/>
  </rowBreaks>
  <ignoredErrors>
    <ignoredError sqref="M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opLeftCell="A142" zoomScaleNormal="100" workbookViewId="0">
      <selection activeCell="C155" sqref="C155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254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91" t="s">
        <v>13</v>
      </c>
      <c r="J7" s="66" t="s">
        <v>12</v>
      </c>
      <c r="K7" s="92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10600+7800</f>
        <v>18400</v>
      </c>
      <c r="N10" s="30">
        <f t="shared" ref="N10:N22" si="1">L10-M10</f>
        <v>14600</v>
      </c>
      <c r="O10" s="29">
        <f>M10/$M$26</f>
        <v>3.5478687807619744E-2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/>
      <c r="N12" s="30">
        <f t="shared" si="1"/>
        <v>25000</v>
      </c>
      <c r="O12" s="29">
        <f>M12/$M$26</f>
        <v>0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569.79</v>
      </c>
      <c r="N15" s="30">
        <f t="shared" si="1"/>
        <v>2730.21</v>
      </c>
      <c r="O15" s="29">
        <f>M15/$M$26</f>
        <v>1.0986631264078073E-3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3328145.92</v>
      </c>
      <c r="M18" s="30">
        <f>239541.91+223209.51</f>
        <v>462751.42000000004</v>
      </c>
      <c r="N18" s="30">
        <f t="shared" si="1"/>
        <v>2865394.5</v>
      </c>
      <c r="O18" s="29">
        <f>M18/$M$26</f>
        <v>0.89227245449525683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v>36900</v>
      </c>
      <c r="N20" s="30">
        <f t="shared" si="1"/>
        <v>3157008.21</v>
      </c>
      <c r="O20" s="29">
        <f>M20/$M$26</f>
        <v>7.1150194570715683E-2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/>
      <c r="N22" s="30">
        <f t="shared" si="1"/>
        <v>239501.9</v>
      </c>
      <c r="O22" s="29">
        <f>M22/$M$26</f>
        <v>0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518621.21</v>
      </c>
      <c r="N26" s="36">
        <f t="shared" si="2"/>
        <v>7311249.3300000001</v>
      </c>
      <c r="O26" s="29"/>
    </row>
    <row r="27" spans="1:15" ht="15.95" customHeight="1" x14ac:dyDescent="0.2">
      <c r="A27" s="37"/>
      <c r="B27" s="37"/>
      <c r="C27" s="38">
        <f>6416776.61-C26</f>
        <v>-1413093.9299999997</v>
      </c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f>59446+59446</f>
        <v>118892</v>
      </c>
      <c r="N31" s="30">
        <f t="shared" ref="N31:N97" si="3">L31-M31</f>
        <v>665680.04</v>
      </c>
      <c r="O31" s="40">
        <f t="shared" ref="O31:O40" si="4">M31/$M$136</f>
        <v>0.43046576053500957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1500</v>
      </c>
      <c r="N32" s="30">
        <f t="shared" si="3"/>
        <v>7200</v>
      </c>
      <c r="O32" s="40">
        <f t="shared" si="4"/>
        <v>5.4309679440375661E-3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37800</v>
      </c>
      <c r="N33" s="30">
        <f t="shared" si="3"/>
        <v>243300</v>
      </c>
      <c r="O33" s="40">
        <f t="shared" si="4"/>
        <v>0.13686039218974666</v>
      </c>
    </row>
    <row r="34" spans="1:15" ht="15.95" customHeight="1" x14ac:dyDescent="0.2">
      <c r="A34" s="43" t="s">
        <v>40</v>
      </c>
      <c r="B34" s="31" t="s">
        <v>41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/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42</v>
      </c>
      <c r="B35" s="31" t="s">
        <v>157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/>
      <c r="N35" s="30">
        <f t="shared" si="3"/>
        <v>34510.800000000003</v>
      </c>
      <c r="O35" s="40">
        <f t="shared" si="4"/>
        <v>0</v>
      </c>
    </row>
    <row r="36" spans="1:15" ht="15.95" customHeight="1" x14ac:dyDescent="0.2">
      <c r="A36" s="43" t="s">
        <v>43</v>
      </c>
      <c r="B36" s="31" t="s">
        <v>158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12685.78</v>
      </c>
      <c r="N36" s="30">
        <f t="shared" si="3"/>
        <v>74715.37</v>
      </c>
      <c r="O36" s="40">
        <f t="shared" si="4"/>
        <v>4.5930709683408587E-2</v>
      </c>
    </row>
    <row r="37" spans="1:15" ht="15.95" customHeight="1" x14ac:dyDescent="0.2">
      <c r="A37" s="43" t="s">
        <v>44</v>
      </c>
      <c r="B37" s="31" t="s">
        <v>159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1188.92</v>
      </c>
      <c r="N37" s="30">
        <f t="shared" si="3"/>
        <v>7001.92</v>
      </c>
      <c r="O37" s="40">
        <f t="shared" si="4"/>
        <v>4.3046576053500955E-3</v>
      </c>
    </row>
    <row r="38" spans="1:15" ht="15.95" customHeight="1" x14ac:dyDescent="0.2">
      <c r="A38" s="43" t="s">
        <v>45</v>
      </c>
      <c r="B38" s="31" t="s">
        <v>46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/>
      <c r="N38" s="30">
        <f t="shared" si="3"/>
        <v>67581.009999999995</v>
      </c>
      <c r="O38" s="40">
        <f t="shared" si="4"/>
        <v>0</v>
      </c>
    </row>
    <row r="39" spans="1:15" ht="15.95" customHeight="1" x14ac:dyDescent="0.2">
      <c r="A39" s="43" t="s">
        <v>47</v>
      </c>
      <c r="B39" s="31" t="s">
        <v>160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/>
      <c r="N39" s="30">
        <f t="shared" si="3"/>
        <v>67581.009999999995</v>
      </c>
      <c r="O39" s="40">
        <f t="shared" si="4"/>
        <v>0</v>
      </c>
    </row>
    <row r="40" spans="1:15" ht="15.95" customHeight="1" x14ac:dyDescent="0.2">
      <c r="A40" s="43" t="s">
        <v>48</v>
      </c>
      <c r="B40" s="31" t="s">
        <v>49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/>
      <c r="N40" s="30">
        <f t="shared" si="3"/>
        <v>4400</v>
      </c>
      <c r="O40" s="40">
        <f t="shared" si="4"/>
        <v>0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50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93</v>
      </c>
      <c r="B44" s="31" t="s">
        <v>51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1083.06</v>
      </c>
      <c r="N44" s="30">
        <f t="shared" si="3"/>
        <v>12666.94</v>
      </c>
      <c r="O44" s="40">
        <f t="shared" ref="O44:O59" si="7">M44/$M$136</f>
        <v>3.9213760943128846E-3</v>
      </c>
    </row>
    <row r="45" spans="1:15" ht="15.95" customHeight="1" x14ac:dyDescent="0.2">
      <c r="A45" s="43" t="s">
        <v>94</v>
      </c>
      <c r="B45" s="31" t="s">
        <v>52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5261.76</v>
      </c>
      <c r="N45" s="30">
        <f t="shared" si="3"/>
        <v>20838.239999999998</v>
      </c>
      <c r="O45" s="40">
        <f t="shared" si="7"/>
        <v>1.9050966592812739E-2</v>
      </c>
    </row>
    <row r="46" spans="1:15" ht="15.95" customHeight="1" x14ac:dyDescent="0.2">
      <c r="A46" s="43" t="s">
        <v>95</v>
      </c>
      <c r="B46" s="31" t="s">
        <v>53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/>
      <c r="N46" s="30">
        <f t="shared" si="3"/>
        <v>2000</v>
      </c>
      <c r="O46" s="40">
        <f t="shared" si="7"/>
        <v>0</v>
      </c>
    </row>
    <row r="47" spans="1:15" ht="15.95" customHeight="1" x14ac:dyDescent="0.2">
      <c r="A47" s="43" t="s">
        <v>96</v>
      </c>
      <c r="B47" s="31" t="s">
        <v>161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2040</v>
      </c>
      <c r="N47" s="30">
        <f t="shared" si="3"/>
        <v>5960</v>
      </c>
      <c r="O47" s="40">
        <f t="shared" si="7"/>
        <v>7.3861164038910906E-3</v>
      </c>
    </row>
    <row r="48" spans="1:15" ht="15.95" customHeight="1" x14ac:dyDescent="0.2">
      <c r="A48" s="43" t="s">
        <v>97</v>
      </c>
      <c r="B48" s="31" t="s">
        <v>162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>C48+D48-E48+F48-G48+H48-I48+J48-K48</f>
        <v>14250</v>
      </c>
      <c r="M48" s="30">
        <v>289.25</v>
      </c>
      <c r="N48" s="30">
        <f t="shared" si="3"/>
        <v>13960.75</v>
      </c>
      <c r="O48" s="40">
        <f t="shared" si="7"/>
        <v>1.0472716518752441E-3</v>
      </c>
    </row>
    <row r="49" spans="1:15" ht="15.95" customHeight="1" x14ac:dyDescent="0.2">
      <c r="A49" s="43" t="s">
        <v>98</v>
      </c>
      <c r="B49" s="31" t="s">
        <v>163</v>
      </c>
      <c r="C49" s="30">
        <v>1715190.72</v>
      </c>
      <c r="D49" s="30"/>
      <c r="E49" s="30"/>
      <c r="F49" s="46"/>
      <c r="G49" s="46"/>
      <c r="H49" s="30"/>
      <c r="I49" s="30"/>
      <c r="J49" s="46"/>
      <c r="K49" s="46"/>
      <c r="L49" s="30">
        <f t="shared" si="6"/>
        <v>1715190.72</v>
      </c>
      <c r="M49" s="30"/>
      <c r="N49" s="30">
        <f t="shared" si="3"/>
        <v>1715190.72</v>
      </c>
      <c r="O49" s="40">
        <f t="shared" si="7"/>
        <v>0</v>
      </c>
    </row>
    <row r="50" spans="1:15" ht="15.95" customHeight="1" x14ac:dyDescent="0.2">
      <c r="A50" s="43" t="s">
        <v>99</v>
      </c>
      <c r="B50" s="31" t="s">
        <v>54</v>
      </c>
      <c r="C50" s="30">
        <v>261792.7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261792.7</v>
      </c>
      <c r="M50" s="30"/>
      <c r="N50" s="30">
        <f t="shared" si="3"/>
        <v>261792.7</v>
      </c>
      <c r="O50" s="40">
        <f t="shared" si="7"/>
        <v>0</v>
      </c>
    </row>
    <row r="51" spans="1:15" ht="15.95" customHeight="1" x14ac:dyDescent="0.2">
      <c r="A51" s="43" t="s">
        <v>100</v>
      </c>
      <c r="B51" s="31" t="s">
        <v>164</v>
      </c>
      <c r="C51" s="30">
        <v>631585.37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631585.37</v>
      </c>
      <c r="M51" s="30"/>
      <c r="N51" s="30">
        <f t="shared" si="3"/>
        <v>631585.37</v>
      </c>
      <c r="O51" s="40">
        <f t="shared" si="7"/>
        <v>0</v>
      </c>
    </row>
    <row r="52" spans="1:15" ht="15.95" customHeight="1" x14ac:dyDescent="0.2">
      <c r="A52" s="43" t="s">
        <v>101</v>
      </c>
      <c r="B52" s="31" t="s">
        <v>55</v>
      </c>
      <c r="C52" s="30">
        <v>70750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70750</v>
      </c>
      <c r="M52" s="30"/>
      <c r="N52" s="30">
        <f t="shared" si="3"/>
        <v>70750</v>
      </c>
      <c r="O52" s="40">
        <f t="shared" si="7"/>
        <v>0</v>
      </c>
    </row>
    <row r="53" spans="1:15" ht="15.95" customHeight="1" x14ac:dyDescent="0.2">
      <c r="A53" s="43" t="s">
        <v>102</v>
      </c>
      <c r="B53" s="31" t="s">
        <v>56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/>
      <c r="N53" s="30">
        <f t="shared" si="3"/>
        <v>42500</v>
      </c>
      <c r="O53" s="40">
        <f t="shared" si="7"/>
        <v>0</v>
      </c>
    </row>
    <row r="54" spans="1:15" ht="15.95" customHeight="1" x14ac:dyDescent="0.2">
      <c r="A54" s="43" t="s">
        <v>103</v>
      </c>
      <c r="B54" s="31" t="s">
        <v>57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/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104</v>
      </c>
      <c r="B55" s="31" t="s">
        <v>165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/>
      <c r="N55" s="30">
        <f t="shared" si="3"/>
        <v>3004.32</v>
      </c>
      <c r="O55" s="40">
        <f t="shared" si="7"/>
        <v>0</v>
      </c>
    </row>
    <row r="56" spans="1:15" ht="15.95" customHeight="1" x14ac:dyDescent="0.2">
      <c r="A56" s="43" t="s">
        <v>105</v>
      </c>
      <c r="B56" s="31" t="s">
        <v>166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/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106</v>
      </c>
      <c r="B57" s="31" t="s">
        <v>167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565.6</v>
      </c>
      <c r="N57" s="30">
        <f t="shared" si="3"/>
        <v>6434.4</v>
      </c>
      <c r="O57" s="40">
        <f t="shared" si="7"/>
        <v>2.0478369794317652E-3</v>
      </c>
    </row>
    <row r="58" spans="1:15" ht="15.95" customHeight="1" x14ac:dyDescent="0.2">
      <c r="A58" s="43" t="s">
        <v>107</v>
      </c>
      <c r="B58" s="31" t="s">
        <v>168</v>
      </c>
      <c r="C58" s="30">
        <v>14000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14000</v>
      </c>
      <c r="M58" s="30">
        <v>450</v>
      </c>
      <c r="N58" s="30">
        <f t="shared" si="3"/>
        <v>13550</v>
      </c>
      <c r="O58" s="40">
        <f t="shared" si="7"/>
        <v>1.6292903832112698E-3</v>
      </c>
    </row>
    <row r="59" spans="1:15" ht="15.95" hidden="1" customHeight="1" x14ac:dyDescent="0.2">
      <c r="A59" s="43" t="s">
        <v>108</v>
      </c>
      <c r="B59" s="31" t="s">
        <v>169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/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241</v>
      </c>
      <c r="C60" s="30">
        <v>15000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15000</v>
      </c>
      <c r="M60" s="30"/>
      <c r="N60" s="30">
        <f t="shared" si="3"/>
        <v>15000</v>
      </c>
      <c r="O60" s="40"/>
    </row>
    <row r="61" spans="1:15" ht="15.95" customHeight="1" x14ac:dyDescent="0.2">
      <c r="A61" s="43">
        <v>171</v>
      </c>
      <c r="B61" s="31" t="s">
        <v>169</v>
      </c>
      <c r="C61" s="30">
        <v>110000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110000</v>
      </c>
      <c r="M61" s="30"/>
      <c r="N61" s="30">
        <f t="shared" si="3"/>
        <v>110000</v>
      </c>
      <c r="O61" s="40"/>
    </row>
    <row r="62" spans="1:15" ht="15.95" customHeight="1" x14ac:dyDescent="0.2">
      <c r="A62" s="43" t="s">
        <v>109</v>
      </c>
      <c r="B62" s="31" t="s">
        <v>170</v>
      </c>
      <c r="C62" s="30">
        <v>9750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9750</v>
      </c>
      <c r="M62" s="30"/>
      <c r="N62" s="30">
        <f t="shared" si="3"/>
        <v>9750</v>
      </c>
      <c r="O62" s="40">
        <f t="shared" ref="O62:O77" si="8">M62/$M$136</f>
        <v>0</v>
      </c>
    </row>
    <row r="63" spans="1:15" ht="15.95" customHeight="1" x14ac:dyDescent="0.2">
      <c r="A63" s="43" t="s">
        <v>110</v>
      </c>
      <c r="B63" s="31" t="s">
        <v>171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/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239</v>
      </c>
      <c r="C64" s="30">
        <v>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0</v>
      </c>
      <c r="M64" s="30"/>
      <c r="N64" s="30">
        <f t="shared" si="3"/>
        <v>0</v>
      </c>
      <c r="O64" s="40">
        <f t="shared" si="8"/>
        <v>0</v>
      </c>
    </row>
    <row r="65" spans="1:15" ht="15.95" customHeight="1" x14ac:dyDescent="0.2">
      <c r="A65" s="43" t="s">
        <v>111</v>
      </c>
      <c r="B65" s="31" t="s">
        <v>172</v>
      </c>
      <c r="C65" s="30">
        <v>15000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15000</v>
      </c>
      <c r="M65" s="30">
        <v>300</v>
      </c>
      <c r="N65" s="30">
        <f t="shared" si="3"/>
        <v>14700</v>
      </c>
      <c r="O65" s="40">
        <f t="shared" si="8"/>
        <v>1.0861935888075132E-3</v>
      </c>
    </row>
    <row r="66" spans="1:15" ht="15.95" customHeight="1" x14ac:dyDescent="0.2">
      <c r="A66" s="43" t="s">
        <v>112</v>
      </c>
      <c r="B66" s="31" t="s">
        <v>173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9000</v>
      </c>
      <c r="N66" s="30">
        <f t="shared" si="3"/>
        <v>45000</v>
      </c>
      <c r="O66" s="40">
        <f t="shared" si="8"/>
        <v>3.2585807664225398E-2</v>
      </c>
    </row>
    <row r="67" spans="1:15" ht="15.95" customHeight="1" x14ac:dyDescent="0.2">
      <c r="A67" s="43" t="s">
        <v>113</v>
      </c>
      <c r="B67" s="31" t="s">
        <v>58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/>
      <c r="N67" s="30">
        <f t="shared" si="3"/>
        <v>7500</v>
      </c>
      <c r="O67" s="40">
        <f t="shared" si="8"/>
        <v>0</v>
      </c>
    </row>
    <row r="68" spans="1:15" ht="15.95" customHeight="1" x14ac:dyDescent="0.2">
      <c r="A68" s="43" t="s">
        <v>114</v>
      </c>
      <c r="B68" s="31" t="s">
        <v>174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/>
      <c r="N68" s="30">
        <f t="shared" si="3"/>
        <v>24540</v>
      </c>
      <c r="O68" s="40">
        <f t="shared" si="8"/>
        <v>0</v>
      </c>
    </row>
    <row r="69" spans="1:15" ht="15.95" customHeight="1" x14ac:dyDescent="0.2">
      <c r="A69" s="43" t="s">
        <v>115</v>
      </c>
      <c r="B69" s="31" t="s">
        <v>175</v>
      </c>
      <c r="C69" s="30">
        <v>8000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8000</v>
      </c>
      <c r="M69" s="30"/>
      <c r="N69" s="30">
        <f t="shared" si="3"/>
        <v>8000</v>
      </c>
      <c r="O69" s="40">
        <f t="shared" si="8"/>
        <v>0</v>
      </c>
    </row>
    <row r="70" spans="1:15" ht="15.95" customHeight="1" x14ac:dyDescent="0.2">
      <c r="A70" s="43" t="s">
        <v>116</v>
      </c>
      <c r="B70" s="31" t="s">
        <v>176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/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117</v>
      </c>
      <c r="B71" s="31" t="s">
        <v>59</v>
      </c>
      <c r="C71" s="30">
        <v>681800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681800</v>
      </c>
      <c r="M71" s="30"/>
      <c r="N71" s="30">
        <f t="shared" si="3"/>
        <v>681800</v>
      </c>
      <c r="O71" s="40">
        <f t="shared" si="8"/>
        <v>0</v>
      </c>
    </row>
    <row r="72" spans="1:15" ht="15.95" customHeight="1" x14ac:dyDescent="0.2">
      <c r="A72" s="43" t="s">
        <v>118</v>
      </c>
      <c r="B72" s="31" t="s">
        <v>177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/>
      <c r="N72" s="30">
        <f t="shared" si="3"/>
        <v>8250</v>
      </c>
      <c r="O72" s="40">
        <f t="shared" si="8"/>
        <v>0</v>
      </c>
    </row>
    <row r="73" spans="1:15" ht="15.95" customHeight="1" x14ac:dyDescent="0.2">
      <c r="A73" s="43" t="s">
        <v>119</v>
      </c>
      <c r="B73" s="31" t="s">
        <v>178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370.69</v>
      </c>
      <c r="N73" s="30">
        <f t="shared" si="3"/>
        <v>2129.31</v>
      </c>
      <c r="O73" s="40">
        <f t="shared" si="8"/>
        <v>1.3421370047835236E-3</v>
      </c>
    </row>
    <row r="74" spans="1:15" ht="15.95" customHeight="1" x14ac:dyDescent="0.2">
      <c r="A74" s="43" t="s">
        <v>120</v>
      </c>
      <c r="B74" s="31" t="s">
        <v>60</v>
      </c>
      <c r="C74" s="30">
        <v>108251.07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108251.07</v>
      </c>
      <c r="M74" s="30">
        <v>40.200000000000003</v>
      </c>
      <c r="N74" s="30">
        <f t="shared" si="3"/>
        <v>108210.87000000001</v>
      </c>
      <c r="O74" s="40">
        <f t="shared" si="8"/>
        <v>1.4554994090020679E-4</v>
      </c>
    </row>
    <row r="75" spans="1:15" ht="15.95" customHeight="1" x14ac:dyDescent="0.2">
      <c r="A75" s="43" t="s">
        <v>121</v>
      </c>
      <c r="B75" s="31" t="s">
        <v>179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/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180</v>
      </c>
      <c r="B76" s="31" t="s">
        <v>153</v>
      </c>
      <c r="C76" s="30">
        <v>214100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214100</v>
      </c>
      <c r="M76" s="30"/>
      <c r="N76" s="30">
        <f t="shared" si="3"/>
        <v>214100</v>
      </c>
      <c r="O76" s="40">
        <f t="shared" si="8"/>
        <v>0</v>
      </c>
    </row>
    <row r="77" spans="1:15" ht="15.95" customHeight="1" x14ac:dyDescent="0.2">
      <c r="A77" s="43" t="s">
        <v>122</v>
      </c>
      <c r="B77" s="31" t="s">
        <v>181</v>
      </c>
      <c r="C77" s="30">
        <v>121000</v>
      </c>
      <c r="D77" s="30"/>
      <c r="E77" s="30"/>
      <c r="F77" s="46"/>
      <c r="G77" s="46"/>
      <c r="H77" s="30"/>
      <c r="I77" s="30"/>
      <c r="J77" s="46"/>
      <c r="K77" s="46"/>
      <c r="L77" s="30">
        <f t="shared" si="6"/>
        <v>121000</v>
      </c>
      <c r="M77" s="30">
        <v>57.5</v>
      </c>
      <c r="N77" s="30">
        <f t="shared" si="3"/>
        <v>120942.5</v>
      </c>
      <c r="O77" s="40">
        <f t="shared" si="8"/>
        <v>2.0818710452144004E-4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61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123</v>
      </c>
      <c r="B81" s="31" t="s">
        <v>62</v>
      </c>
      <c r="C81" s="30">
        <v>114414.1</v>
      </c>
      <c r="D81" s="30"/>
      <c r="E81" s="30"/>
      <c r="F81" s="46"/>
      <c r="G81" s="46"/>
      <c r="H81" s="30"/>
      <c r="I81" s="30"/>
      <c r="J81" s="46"/>
      <c r="K81" s="46"/>
      <c r="L81" s="30">
        <f t="shared" ref="L81:L117" si="9">C81+D81-E81+F81-G81+H81-I81+J81-K81</f>
        <v>114414.1</v>
      </c>
      <c r="M81" s="30">
        <v>3278.55</v>
      </c>
      <c r="N81" s="30">
        <f t="shared" si="3"/>
        <v>111135.55</v>
      </c>
      <c r="O81" s="40">
        <f t="shared" ref="O81:O117" si="10">M81/$M$136</f>
        <v>1.1870466635282909E-2</v>
      </c>
    </row>
    <row r="82" spans="1:15" ht="15.95" hidden="1" customHeight="1" x14ac:dyDescent="0.2">
      <c r="A82" s="43">
        <v>214</v>
      </c>
      <c r="B82" s="31" t="s">
        <v>193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/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194</v>
      </c>
      <c r="C83" s="30">
        <v>0</v>
      </c>
      <c r="D83" s="30"/>
      <c r="E83" s="30"/>
      <c r="F83" s="46"/>
      <c r="G83" s="46"/>
      <c r="H83" s="30"/>
      <c r="I83" s="30"/>
      <c r="J83" s="46"/>
      <c r="K83" s="46"/>
      <c r="L83" s="30">
        <f t="shared" si="9"/>
        <v>0</v>
      </c>
      <c r="M83" s="30"/>
      <c r="N83" s="30">
        <f t="shared" si="3"/>
        <v>0</v>
      </c>
      <c r="O83" s="40">
        <f t="shared" si="10"/>
        <v>0</v>
      </c>
    </row>
    <row r="84" spans="1:15" ht="15.95" hidden="1" customHeight="1" x14ac:dyDescent="0.2">
      <c r="A84" s="43">
        <v>229</v>
      </c>
      <c r="B84" s="31" t="s">
        <v>195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/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124</v>
      </c>
      <c r="B85" s="31" t="s">
        <v>63</v>
      </c>
      <c r="C85" s="30">
        <v>2750</v>
      </c>
      <c r="D85" s="30"/>
      <c r="E85" s="30"/>
      <c r="F85" s="46"/>
      <c r="G85" s="46"/>
      <c r="H85" s="30"/>
      <c r="I85" s="30"/>
      <c r="J85" s="46"/>
      <c r="K85" s="46"/>
      <c r="L85" s="30">
        <f t="shared" si="9"/>
        <v>2750</v>
      </c>
      <c r="M85" s="30"/>
      <c r="N85" s="30">
        <f t="shared" si="3"/>
        <v>2750</v>
      </c>
      <c r="O85" s="40">
        <f t="shared" si="10"/>
        <v>0</v>
      </c>
    </row>
    <row r="86" spans="1:15" ht="15.95" customHeight="1" x14ac:dyDescent="0.2">
      <c r="A86" s="43" t="s">
        <v>125</v>
      </c>
      <c r="B86" s="31" t="s">
        <v>64</v>
      </c>
      <c r="C86" s="30">
        <v>16800</v>
      </c>
      <c r="D86" s="30"/>
      <c r="E86" s="30"/>
      <c r="F86" s="46"/>
      <c r="G86" s="46"/>
      <c r="H86" s="30"/>
      <c r="I86" s="30"/>
      <c r="J86" s="46"/>
      <c r="K86" s="46"/>
      <c r="L86" s="30">
        <f t="shared" si="9"/>
        <v>16800</v>
      </c>
      <c r="M86" s="30"/>
      <c r="N86" s="30">
        <f t="shared" si="3"/>
        <v>16800</v>
      </c>
      <c r="O86" s="40">
        <f t="shared" si="10"/>
        <v>0</v>
      </c>
    </row>
    <row r="87" spans="1:15" ht="15.95" customHeight="1" x14ac:dyDescent="0.2">
      <c r="A87" s="43" t="s">
        <v>126</v>
      </c>
      <c r="B87" s="31" t="s">
        <v>65</v>
      </c>
      <c r="C87" s="30">
        <v>5250</v>
      </c>
      <c r="D87" s="30"/>
      <c r="E87" s="30"/>
      <c r="F87" s="46"/>
      <c r="G87" s="46"/>
      <c r="H87" s="30"/>
      <c r="I87" s="30"/>
      <c r="J87" s="46"/>
      <c r="K87" s="46"/>
      <c r="L87" s="30">
        <f t="shared" si="9"/>
        <v>5250</v>
      </c>
      <c r="M87" s="30">
        <v>260</v>
      </c>
      <c r="N87" s="30">
        <f t="shared" si="3"/>
        <v>4990</v>
      </c>
      <c r="O87" s="40">
        <f t="shared" si="10"/>
        <v>9.4136777696651156E-4</v>
      </c>
    </row>
    <row r="88" spans="1:15" ht="15.95" customHeight="1" x14ac:dyDescent="0.2">
      <c r="A88" s="43" t="s">
        <v>127</v>
      </c>
      <c r="B88" s="31" t="s">
        <v>66</v>
      </c>
      <c r="C88" s="30">
        <v>5500</v>
      </c>
      <c r="D88" s="30"/>
      <c r="E88" s="30"/>
      <c r="F88" s="46"/>
      <c r="G88" s="46"/>
      <c r="H88" s="30"/>
      <c r="I88" s="30"/>
      <c r="J88" s="46"/>
      <c r="K88" s="46"/>
      <c r="L88" s="30">
        <f t="shared" si="9"/>
        <v>5500</v>
      </c>
      <c r="M88" s="30">
        <v>790.64</v>
      </c>
      <c r="N88" s="30">
        <f t="shared" si="3"/>
        <v>4709.3599999999997</v>
      </c>
      <c r="O88" s="40">
        <f t="shared" si="10"/>
        <v>2.8626269968492408E-3</v>
      </c>
    </row>
    <row r="89" spans="1:15" ht="15.95" customHeight="1" x14ac:dyDescent="0.2">
      <c r="A89" s="43" t="s">
        <v>128</v>
      </c>
      <c r="B89" s="31" t="s">
        <v>196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428.2</v>
      </c>
      <c r="N89" s="30">
        <f t="shared" si="3"/>
        <v>2621.8</v>
      </c>
      <c r="O89" s="40">
        <f t="shared" si="10"/>
        <v>1.5503603157579239E-3</v>
      </c>
    </row>
    <row r="90" spans="1:15" ht="15.95" customHeight="1" x14ac:dyDescent="0.2">
      <c r="A90" s="43" t="s">
        <v>129</v>
      </c>
      <c r="B90" s="31" t="s">
        <v>67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/>
      <c r="N90" s="30">
        <f t="shared" si="3"/>
        <v>875</v>
      </c>
      <c r="O90" s="40">
        <f t="shared" si="10"/>
        <v>0</v>
      </c>
    </row>
    <row r="91" spans="1:15" ht="15.95" customHeight="1" x14ac:dyDescent="0.2">
      <c r="A91" s="43" t="s">
        <v>130</v>
      </c>
      <c r="B91" s="31" t="s">
        <v>197</v>
      </c>
      <c r="C91" s="30">
        <v>5500</v>
      </c>
      <c r="D91" s="30"/>
      <c r="E91" s="30"/>
      <c r="F91" s="46"/>
      <c r="G91" s="46"/>
      <c r="H91" s="30"/>
      <c r="I91" s="30"/>
      <c r="J91" s="46"/>
      <c r="K91" s="46"/>
      <c r="L91" s="30">
        <f t="shared" si="9"/>
        <v>5500</v>
      </c>
      <c r="M91" s="30"/>
      <c r="N91" s="30">
        <f t="shared" si="3"/>
        <v>5500</v>
      </c>
      <c r="O91" s="40">
        <f t="shared" si="10"/>
        <v>0</v>
      </c>
    </row>
    <row r="92" spans="1:15" ht="15.95" customHeight="1" x14ac:dyDescent="0.2">
      <c r="A92" s="43" t="s">
        <v>131</v>
      </c>
      <c r="B92" s="31" t="s">
        <v>68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/>
      <c r="N92" s="30">
        <f t="shared" si="3"/>
        <v>2700</v>
      </c>
      <c r="O92" s="40">
        <f t="shared" si="10"/>
        <v>0</v>
      </c>
    </row>
    <row r="93" spans="1:15" ht="15.95" customHeight="1" x14ac:dyDescent="0.2">
      <c r="A93" s="43" t="s">
        <v>198</v>
      </c>
      <c r="B93" s="31" t="s">
        <v>199</v>
      </c>
      <c r="C93" s="30">
        <v>2800</v>
      </c>
      <c r="D93" s="30"/>
      <c r="E93" s="30"/>
      <c r="F93" s="46"/>
      <c r="G93" s="46"/>
      <c r="H93" s="30"/>
      <c r="I93" s="30"/>
      <c r="J93" s="46"/>
      <c r="K93" s="46"/>
      <c r="L93" s="30">
        <f t="shared" si="9"/>
        <v>2800</v>
      </c>
      <c r="M93" s="30"/>
      <c r="N93" s="30">
        <f t="shared" si="3"/>
        <v>2800</v>
      </c>
      <c r="O93" s="40">
        <f t="shared" si="10"/>
        <v>0</v>
      </c>
    </row>
    <row r="94" spans="1:15" ht="15.95" customHeight="1" x14ac:dyDescent="0.2">
      <c r="A94" s="43" t="s">
        <v>132</v>
      </c>
      <c r="B94" s="31" t="s">
        <v>69</v>
      </c>
      <c r="C94" s="30">
        <v>8500</v>
      </c>
      <c r="D94" s="30"/>
      <c r="E94" s="30"/>
      <c r="F94" s="46"/>
      <c r="G94" s="46"/>
      <c r="H94" s="30"/>
      <c r="I94" s="30"/>
      <c r="J94" s="46"/>
      <c r="K94" s="46"/>
      <c r="L94" s="30">
        <f t="shared" si="9"/>
        <v>8500</v>
      </c>
      <c r="M94" s="30">
        <v>614.82000000000005</v>
      </c>
      <c r="N94" s="30">
        <f t="shared" si="3"/>
        <v>7885.18</v>
      </c>
      <c r="O94" s="40">
        <f t="shared" si="10"/>
        <v>2.2260451409021179E-3</v>
      </c>
    </row>
    <row r="95" spans="1:15" ht="15.95" customHeight="1" x14ac:dyDescent="0.2">
      <c r="A95" s="43" t="s">
        <v>133</v>
      </c>
      <c r="B95" s="31" t="s">
        <v>200</v>
      </c>
      <c r="C95" s="30">
        <v>6000</v>
      </c>
      <c r="D95" s="30"/>
      <c r="E95" s="30"/>
      <c r="F95" s="46"/>
      <c r="G95" s="46"/>
      <c r="H95" s="30"/>
      <c r="I95" s="30"/>
      <c r="J95" s="46"/>
      <c r="K95" s="46"/>
      <c r="L95" s="30">
        <f t="shared" si="9"/>
        <v>6000</v>
      </c>
      <c r="M95" s="30">
        <v>276.94</v>
      </c>
      <c r="N95" s="30">
        <f t="shared" si="3"/>
        <v>5723.06</v>
      </c>
      <c r="O95" s="40">
        <f t="shared" si="10"/>
        <v>1.0027015082811758E-3</v>
      </c>
    </row>
    <row r="96" spans="1:15" ht="15.95" customHeight="1" x14ac:dyDescent="0.2">
      <c r="A96" s="43" t="s">
        <v>134</v>
      </c>
      <c r="B96" s="31" t="s">
        <v>70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1971.1</v>
      </c>
      <c r="N96" s="30">
        <f t="shared" si="3"/>
        <v>15528.9</v>
      </c>
      <c r="O96" s="40">
        <f t="shared" si="10"/>
        <v>7.136653942994964E-3</v>
      </c>
    </row>
    <row r="97" spans="1:15" ht="15.95" customHeight="1" x14ac:dyDescent="0.2">
      <c r="A97" s="43" t="s">
        <v>135</v>
      </c>
      <c r="B97" s="31" t="s">
        <v>201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238.96</v>
      </c>
      <c r="N97" s="30">
        <f t="shared" si="3"/>
        <v>2761.04</v>
      </c>
      <c r="O97" s="40">
        <f t="shared" si="10"/>
        <v>8.651893999381446E-4</v>
      </c>
    </row>
    <row r="98" spans="1:15" ht="15.95" customHeight="1" x14ac:dyDescent="0.2">
      <c r="A98" s="43" t="s">
        <v>136</v>
      </c>
      <c r="B98" s="31" t="s">
        <v>202</v>
      </c>
      <c r="C98" s="30">
        <v>1500</v>
      </c>
      <c r="D98" s="30"/>
      <c r="E98" s="30"/>
      <c r="F98" s="46"/>
      <c r="G98" s="46"/>
      <c r="H98" s="30"/>
      <c r="I98" s="30"/>
      <c r="J98" s="46"/>
      <c r="K98" s="46"/>
      <c r="L98" s="30">
        <f t="shared" si="9"/>
        <v>1500</v>
      </c>
      <c r="M98" s="30"/>
      <c r="N98" s="30">
        <f t="shared" ref="N98:N135" si="11">L98-M98</f>
        <v>1500</v>
      </c>
      <c r="O98" s="40">
        <f t="shared" si="10"/>
        <v>0</v>
      </c>
    </row>
    <row r="99" spans="1:15" ht="15.95" customHeight="1" x14ac:dyDescent="0.2">
      <c r="A99" s="43" t="s">
        <v>137</v>
      </c>
      <c r="B99" s="31" t="s">
        <v>71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/>
      <c r="N99" s="30">
        <f t="shared" si="11"/>
        <v>210345</v>
      </c>
      <c r="O99" s="40">
        <f t="shared" si="10"/>
        <v>0</v>
      </c>
    </row>
    <row r="100" spans="1:15" ht="15.95" hidden="1" customHeight="1" x14ac:dyDescent="0.2">
      <c r="A100" s="43">
        <v>272</v>
      </c>
      <c r="B100" s="31" t="s">
        <v>203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/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138</v>
      </c>
      <c r="B101" s="31" t="s">
        <v>204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/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72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/>
      <c r="N102" s="30">
        <f t="shared" si="11"/>
        <v>1500</v>
      </c>
      <c r="O102" s="40">
        <f t="shared" si="10"/>
        <v>0</v>
      </c>
    </row>
    <row r="103" spans="1:15" ht="15.95" hidden="1" customHeight="1" x14ac:dyDescent="0.2">
      <c r="A103" s="43">
        <v>275</v>
      </c>
      <c r="B103" s="31" t="s">
        <v>205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/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206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/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207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/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139</v>
      </c>
      <c r="B106" s="31" t="s">
        <v>208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/>
      <c r="N106" s="30">
        <f t="shared" si="11"/>
        <v>1800</v>
      </c>
      <c r="O106" s="40">
        <f t="shared" si="10"/>
        <v>0</v>
      </c>
    </row>
    <row r="107" spans="1:15" ht="15.95" customHeight="1" x14ac:dyDescent="0.2">
      <c r="A107" s="43" t="s">
        <v>140</v>
      </c>
      <c r="B107" s="31" t="s">
        <v>73</v>
      </c>
      <c r="C107" s="30">
        <f>8800+100000</f>
        <v>108800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9"/>
        <v>108800</v>
      </c>
      <c r="M107" s="30"/>
      <c r="N107" s="30">
        <f t="shared" si="11"/>
        <v>108800</v>
      </c>
      <c r="O107" s="40">
        <f t="shared" si="10"/>
        <v>0</v>
      </c>
    </row>
    <row r="108" spans="1:15" ht="15.95" customHeight="1" x14ac:dyDescent="0.2">
      <c r="A108" s="43" t="s">
        <v>141</v>
      </c>
      <c r="B108" s="31" t="s">
        <v>74</v>
      </c>
      <c r="C108" s="30">
        <v>800821.67999999993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9"/>
        <v>800821.67999999993</v>
      </c>
      <c r="M108" s="30">
        <v>11700</v>
      </c>
      <c r="N108" s="30">
        <f t="shared" si="11"/>
        <v>789121.67999999993</v>
      </c>
      <c r="O108" s="40">
        <f t="shared" si="10"/>
        <v>4.236154996349302E-2</v>
      </c>
    </row>
    <row r="109" spans="1:15" ht="15.95" customHeight="1" x14ac:dyDescent="0.2">
      <c r="A109" s="43">
        <v>286</v>
      </c>
      <c r="B109" s="31" t="s">
        <v>209</v>
      </c>
      <c r="C109" s="30">
        <v>1500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9"/>
        <v>1500</v>
      </c>
      <c r="M109" s="30"/>
      <c r="N109" s="30">
        <f t="shared" si="11"/>
        <v>1500</v>
      </c>
      <c r="O109" s="40">
        <f t="shared" si="10"/>
        <v>0</v>
      </c>
    </row>
    <row r="110" spans="1:15" ht="15.95" hidden="1" customHeight="1" x14ac:dyDescent="0.2">
      <c r="A110" s="43">
        <v>289</v>
      </c>
      <c r="B110" s="31" t="s">
        <v>210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/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142</v>
      </c>
      <c r="B111" s="31" t="s">
        <v>75</v>
      </c>
      <c r="C111" s="30">
        <v>6600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9"/>
        <v>6600</v>
      </c>
      <c r="M111" s="30">
        <v>704.05</v>
      </c>
      <c r="N111" s="30">
        <f t="shared" si="11"/>
        <v>5895.95</v>
      </c>
      <c r="O111" s="40">
        <f t="shared" si="10"/>
        <v>2.5491153206664324E-3</v>
      </c>
    </row>
    <row r="112" spans="1:15" ht="15.95" customHeight="1" x14ac:dyDescent="0.2">
      <c r="A112" s="43" t="s">
        <v>143</v>
      </c>
      <c r="B112" s="31" t="s">
        <v>211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9"/>
        <v>2000</v>
      </c>
      <c r="M112" s="30">
        <v>388.67</v>
      </c>
      <c r="N112" s="30">
        <f t="shared" si="11"/>
        <v>1611.33</v>
      </c>
      <c r="O112" s="40">
        <f t="shared" si="10"/>
        <v>1.407236207206054E-3</v>
      </c>
    </row>
    <row r="113" spans="1:15" ht="15.95" customHeight="1" x14ac:dyDescent="0.2">
      <c r="A113" s="43" t="s">
        <v>144</v>
      </c>
      <c r="B113" s="31" t="s">
        <v>76</v>
      </c>
      <c r="C113" s="30">
        <v>115251.9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9"/>
        <v>115251.9</v>
      </c>
      <c r="M113" s="30"/>
      <c r="N113" s="30">
        <f t="shared" si="11"/>
        <v>115251.9</v>
      </c>
      <c r="O113" s="40">
        <f t="shared" si="10"/>
        <v>0</v>
      </c>
    </row>
    <row r="114" spans="1:15" ht="15.95" customHeight="1" x14ac:dyDescent="0.2">
      <c r="A114" s="43" t="s">
        <v>145</v>
      </c>
      <c r="B114" s="31" t="s">
        <v>77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9"/>
        <v>2000</v>
      </c>
      <c r="M114" s="30">
        <v>628.95000000000005</v>
      </c>
      <c r="N114" s="30">
        <f t="shared" si="11"/>
        <v>1371.05</v>
      </c>
      <c r="O114" s="40">
        <f t="shared" si="10"/>
        <v>2.2772048589349519E-3</v>
      </c>
    </row>
    <row r="115" spans="1:15" ht="15.95" customHeight="1" x14ac:dyDescent="0.2">
      <c r="A115" s="43" t="s">
        <v>146</v>
      </c>
      <c r="B115" s="31" t="s">
        <v>212</v>
      </c>
      <c r="C115" s="30">
        <v>9500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9"/>
        <v>9500</v>
      </c>
      <c r="M115" s="30"/>
      <c r="N115" s="30">
        <f t="shared" si="11"/>
        <v>9500</v>
      </c>
      <c r="O115" s="40">
        <f t="shared" si="10"/>
        <v>0</v>
      </c>
    </row>
    <row r="116" spans="1:15" ht="15.95" customHeight="1" x14ac:dyDescent="0.2">
      <c r="A116" s="43" t="s">
        <v>147</v>
      </c>
      <c r="B116" s="31" t="s">
        <v>78</v>
      </c>
      <c r="C116" s="30">
        <v>101000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9"/>
        <v>101000</v>
      </c>
      <c r="M116" s="30">
        <v>819.13</v>
      </c>
      <c r="N116" s="30">
        <f t="shared" si="11"/>
        <v>100180.87</v>
      </c>
      <c r="O116" s="40">
        <f t="shared" si="10"/>
        <v>2.9657791813329946E-3</v>
      </c>
    </row>
    <row r="117" spans="1:15" ht="15.95" customHeight="1" x14ac:dyDescent="0.2">
      <c r="A117" s="43" t="s">
        <v>148</v>
      </c>
      <c r="B117" s="31" t="s">
        <v>79</v>
      </c>
      <c r="C117" s="30">
        <v>7500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9"/>
        <v>7500</v>
      </c>
      <c r="M117" s="30">
        <v>1202.5</v>
      </c>
      <c r="N117" s="30">
        <f t="shared" si="11"/>
        <v>6297.5</v>
      </c>
      <c r="O117" s="40">
        <f t="shared" si="10"/>
        <v>4.3538259684701161E-3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80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213</v>
      </c>
      <c r="B122" s="45" t="s">
        <v>214</v>
      </c>
      <c r="C122" s="46">
        <v>10000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ref="L122:L135" si="12">C122+D122-E122+F122-G122+J122-K122</f>
        <v>10000</v>
      </c>
      <c r="M122" s="30">
        <v>2484</v>
      </c>
      <c r="N122" s="30">
        <f t="shared" si="11"/>
        <v>7516</v>
      </c>
      <c r="O122" s="40">
        <f>M122/$M$136</f>
        <v>8.99368291532621E-3</v>
      </c>
    </row>
    <row r="123" spans="1:15" ht="15.95" hidden="1" customHeight="1" x14ac:dyDescent="0.2">
      <c r="A123" s="44" t="s">
        <v>81</v>
      </c>
      <c r="B123" s="45" t="s">
        <v>215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/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216</v>
      </c>
      <c r="B124" s="45" t="s">
        <v>217</v>
      </c>
      <c r="C124" s="46">
        <v>54035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si="12"/>
        <v>54035</v>
      </c>
      <c r="M124" s="30"/>
      <c r="N124" s="30">
        <f t="shared" si="11"/>
        <v>54035</v>
      </c>
      <c r="O124" s="40">
        <f>M124/$M$136</f>
        <v>0</v>
      </c>
    </row>
    <row r="125" spans="1:15" ht="15.95" customHeight="1" x14ac:dyDescent="0.2">
      <c r="A125" s="44" t="s">
        <v>218</v>
      </c>
      <c r="B125" s="45" t="s">
        <v>219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/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238</v>
      </c>
      <c r="C126" s="46">
        <f>15000+15000</f>
        <v>30000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2"/>
        <v>30000</v>
      </c>
      <c r="M126" s="30">
        <v>9990</v>
      </c>
      <c r="N126" s="30">
        <f t="shared" si="11"/>
        <v>20010</v>
      </c>
      <c r="O126" s="40">
        <f>+M126/M136</f>
        <v>3.6170246507290192E-2</v>
      </c>
    </row>
    <row r="127" spans="1:15" ht="15.95" customHeight="1" x14ac:dyDescent="0.2">
      <c r="A127" s="44" t="s">
        <v>220</v>
      </c>
      <c r="B127" s="45" t="s">
        <v>221</v>
      </c>
      <c r="C127" s="46">
        <v>14300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2"/>
        <v>14300</v>
      </c>
      <c r="M127" s="30">
        <v>9256</v>
      </c>
      <c r="N127" s="30">
        <f t="shared" si="11"/>
        <v>5044</v>
      </c>
      <c r="O127" s="40">
        <f>M127/$M$136</f>
        <v>3.3512692860007812E-2</v>
      </c>
    </row>
    <row r="128" spans="1:15" ht="15.95" hidden="1" customHeight="1" x14ac:dyDescent="0.2">
      <c r="A128" s="44" t="s">
        <v>222</v>
      </c>
      <c r="B128" s="45" t="s">
        <v>223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/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82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224</v>
      </c>
      <c r="B132" s="31" t="s">
        <v>83</v>
      </c>
      <c r="C132" s="30">
        <v>140900</v>
      </c>
      <c r="D132" s="30"/>
      <c r="E132" s="30"/>
      <c r="F132" s="46"/>
      <c r="G132" s="46"/>
      <c r="H132" s="30"/>
      <c r="I132" s="30"/>
      <c r="J132" s="46"/>
      <c r="K132" s="46"/>
      <c r="L132" s="30">
        <f t="shared" si="12"/>
        <v>140900</v>
      </c>
      <c r="M132" s="30"/>
      <c r="N132" s="30">
        <f t="shared" si="11"/>
        <v>140900</v>
      </c>
      <c r="O132" s="40">
        <f>M132/$M$136</f>
        <v>0</v>
      </c>
    </row>
    <row r="133" spans="1:15" ht="15.95" customHeight="1" x14ac:dyDescent="0.2">
      <c r="A133" s="43" t="s">
        <v>225</v>
      </c>
      <c r="B133" s="31" t="s">
        <v>226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/>
      <c r="N133" s="30">
        <f t="shared" si="11"/>
        <v>7170</v>
      </c>
      <c r="O133" s="40">
        <f>M133/$M$136</f>
        <v>0</v>
      </c>
    </row>
    <row r="134" spans="1:15" ht="15.95" customHeight="1" x14ac:dyDescent="0.2">
      <c r="A134" s="43" t="s">
        <v>227</v>
      </c>
      <c r="B134" s="31" t="s">
        <v>228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39636.589999999997</v>
      </c>
      <c r="N134" s="30">
        <f t="shared" si="11"/>
        <v>124063.41</v>
      </c>
      <c r="O134" s="40">
        <f>M134/$M$136</f>
        <v>0.14351003313397329</v>
      </c>
    </row>
    <row r="135" spans="1:15" ht="15.95" customHeight="1" thickBot="1" x14ac:dyDescent="0.25">
      <c r="A135" s="43" t="s">
        <v>229</v>
      </c>
      <c r="B135" s="31" t="s">
        <v>230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/>
      <c r="N135" s="30">
        <f t="shared" si="11"/>
        <v>8750</v>
      </c>
      <c r="O135" s="40">
        <f>M135/$M$136</f>
        <v>0</v>
      </c>
    </row>
    <row r="136" spans="1:15" ht="18" customHeight="1" thickBot="1" x14ac:dyDescent="0.3">
      <c r="A136" s="34"/>
      <c r="B136" s="35" t="s">
        <v>92</v>
      </c>
      <c r="C136" s="36">
        <f t="shared" ref="C136:N136" si="13">SUM(C31:C135)</f>
        <v>7829870.540000001</v>
      </c>
      <c r="D136" s="36">
        <f t="shared" si="13"/>
        <v>0</v>
      </c>
      <c r="E136" s="36">
        <f t="shared" si="13"/>
        <v>0</v>
      </c>
      <c r="F136" s="36">
        <f t="shared" si="13"/>
        <v>0</v>
      </c>
      <c r="G136" s="36">
        <f t="shared" si="13"/>
        <v>0</v>
      </c>
      <c r="H136" s="36">
        <f t="shared" si="13"/>
        <v>0</v>
      </c>
      <c r="I136" s="36">
        <f t="shared" si="13"/>
        <v>0</v>
      </c>
      <c r="J136" s="69">
        <f t="shared" si="13"/>
        <v>0</v>
      </c>
      <c r="K136" s="69">
        <f t="shared" si="13"/>
        <v>0</v>
      </c>
      <c r="L136" s="36">
        <f t="shared" si="13"/>
        <v>7829870.540000001</v>
      </c>
      <c r="M136" s="36">
        <f t="shared" si="13"/>
        <v>276193.8600000001</v>
      </c>
      <c r="N136" s="36">
        <f t="shared" si="13"/>
        <v>7553676.6799999997</v>
      </c>
      <c r="O136" s="47">
        <v>1</v>
      </c>
    </row>
    <row r="137" spans="1:15" x14ac:dyDescent="0.2">
      <c r="A137" s="48"/>
      <c r="B137" s="80"/>
      <c r="C137" s="83"/>
      <c r="D137" s="81"/>
      <c r="E137" s="49"/>
      <c r="F137" s="49"/>
      <c r="G137" s="49"/>
      <c r="H137" s="49"/>
      <c r="I137" s="49"/>
      <c r="J137" s="70"/>
      <c r="K137" s="70"/>
      <c r="L137" s="49"/>
      <c r="M137" s="49"/>
      <c r="N137" s="49"/>
    </row>
    <row r="138" spans="1:15" ht="15.75" thickBot="1" x14ac:dyDescent="0.25">
      <c r="B138" s="82"/>
      <c r="C138" s="82"/>
      <c r="D138" s="82"/>
      <c r="E138" s="12"/>
      <c r="F138" s="4"/>
      <c r="L138" s="15"/>
      <c r="M138" s="4"/>
    </row>
    <row r="139" spans="1:15" ht="15.75" x14ac:dyDescent="0.25">
      <c r="A139" s="1" t="s">
        <v>84</v>
      </c>
      <c r="B139" s="2"/>
      <c r="C139" s="3"/>
      <c r="D139" s="4"/>
      <c r="E139" s="4"/>
      <c r="F139" s="4"/>
      <c r="G139" s="4"/>
      <c r="H139" s="4"/>
      <c r="I139" s="4"/>
      <c r="J139" s="71"/>
      <c r="K139" s="71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1"/>
      <c r="K140" s="71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6.95" customHeight="1" x14ac:dyDescent="0.2">
      <c r="A142" s="50"/>
      <c r="B142" s="51"/>
      <c r="C142" s="52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x14ac:dyDescent="0.2">
      <c r="A143" s="53" t="s">
        <v>85</v>
      </c>
      <c r="B143" s="54"/>
      <c r="C143" s="55"/>
      <c r="D143" s="4"/>
      <c r="E143" s="4"/>
      <c r="F143" s="4"/>
      <c r="G143" s="4"/>
      <c r="H143" s="4"/>
      <c r="I143" s="4"/>
      <c r="J143" s="71"/>
      <c r="K143" s="71"/>
      <c r="L143" s="4"/>
    </row>
    <row r="144" spans="1:15" x14ac:dyDescent="0.2">
      <c r="A144" s="56" t="s">
        <v>245</v>
      </c>
      <c r="B144" s="54"/>
      <c r="C144" s="74">
        <v>2417589.64</v>
      </c>
      <c r="D144" s="49"/>
      <c r="E144" s="4"/>
      <c r="F144" s="4"/>
      <c r="G144" s="4"/>
      <c r="H144" s="4"/>
      <c r="I144" s="4"/>
      <c r="J144" s="71"/>
      <c r="K144" s="71"/>
      <c r="L144" s="4"/>
    </row>
    <row r="145" spans="1:12" x14ac:dyDescent="0.2">
      <c r="A145" s="56" t="s">
        <v>250</v>
      </c>
      <c r="B145" s="54"/>
      <c r="C145" s="74">
        <v>-25591.599999999999</v>
      </c>
      <c r="D145" s="49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246</v>
      </c>
      <c r="B146" s="54"/>
      <c r="C146" s="74"/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90" t="s">
        <v>256</v>
      </c>
      <c r="B147" s="54"/>
      <c r="C147" s="74">
        <f>-19097.23-425436.49</f>
        <v>-444533.72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86</v>
      </c>
      <c r="B148" s="54"/>
      <c r="C148" s="74">
        <f>M26</f>
        <v>518621.21</v>
      </c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56" t="s">
        <v>87</v>
      </c>
      <c r="B149" s="54"/>
      <c r="C149" s="75">
        <f>-M136</f>
        <v>-276193.8600000001</v>
      </c>
      <c r="D149" s="4"/>
      <c r="E149" s="4"/>
      <c r="F149" s="4"/>
      <c r="G149" s="4"/>
      <c r="H149" s="4"/>
      <c r="I149" s="4"/>
      <c r="J149" s="71"/>
      <c r="K149" s="71"/>
      <c r="L149" s="4"/>
    </row>
    <row r="150" spans="1:12" ht="15.75" x14ac:dyDescent="0.25">
      <c r="A150" s="57" t="s">
        <v>88</v>
      </c>
      <c r="B150" s="58"/>
      <c r="C150" s="76">
        <f>SUM(C144:C149)</f>
        <v>2189891.67</v>
      </c>
      <c r="D150" s="4"/>
      <c r="E150" s="4"/>
      <c r="F150" s="4"/>
      <c r="G150" s="4"/>
      <c r="H150" s="4"/>
      <c r="I150" s="4"/>
      <c r="J150" s="71"/>
      <c r="K150" s="71"/>
      <c r="L150" s="4"/>
    </row>
    <row r="151" spans="1:12" ht="15.75" x14ac:dyDescent="0.25">
      <c r="A151" s="57"/>
      <c r="B151" s="58"/>
      <c r="C151" s="76"/>
      <c r="D151" s="4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3" t="s">
        <v>89</v>
      </c>
      <c r="B152" s="54"/>
      <c r="C152" s="74"/>
      <c r="D152" s="4"/>
      <c r="E152" s="4"/>
      <c r="F152" s="4"/>
      <c r="G152" s="4"/>
      <c r="H152" s="4"/>
      <c r="I152" s="4"/>
      <c r="J152" s="71"/>
      <c r="K152" s="71"/>
      <c r="L152" s="4"/>
    </row>
    <row r="153" spans="1:12" ht="12" customHeight="1" x14ac:dyDescent="0.2">
      <c r="A153" s="56" t="s">
        <v>149</v>
      </c>
      <c r="B153" s="54"/>
      <c r="C153" s="74">
        <v>272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2" customHeight="1" x14ac:dyDescent="0.2">
      <c r="A154" s="56" t="s">
        <v>249</v>
      </c>
      <c r="B154" s="54"/>
      <c r="C154" s="74">
        <v>0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x14ac:dyDescent="0.2">
      <c r="A155" s="56" t="s">
        <v>152</v>
      </c>
      <c r="B155" s="54"/>
      <c r="C155" s="74">
        <v>9808.6</v>
      </c>
      <c r="D155" s="85"/>
      <c r="E155" s="86"/>
      <c r="F155" s="4"/>
      <c r="G155" s="4"/>
      <c r="H155" s="4"/>
      <c r="I155" s="4"/>
      <c r="J155" s="71"/>
      <c r="K155" s="71"/>
      <c r="L155" s="4"/>
    </row>
    <row r="156" spans="1:12" x14ac:dyDescent="0.2">
      <c r="A156" s="56" t="s">
        <v>151</v>
      </c>
      <c r="B156" s="54"/>
      <c r="C156" s="74">
        <v>1902.9</v>
      </c>
      <c r="D156" s="87"/>
      <c r="E156" s="86"/>
      <c r="F156" s="4"/>
      <c r="G156" s="4"/>
      <c r="H156" s="4"/>
      <c r="I156" s="4"/>
      <c r="J156" s="71"/>
      <c r="K156" s="71"/>
      <c r="L156" s="4"/>
    </row>
    <row r="157" spans="1:12" x14ac:dyDescent="0.2">
      <c r="A157" s="56" t="s">
        <v>150</v>
      </c>
      <c r="B157" s="54"/>
      <c r="C157" s="74">
        <v>0</v>
      </c>
      <c r="D157" s="87"/>
      <c r="E157" s="86"/>
      <c r="F157" s="4"/>
      <c r="G157" s="4"/>
      <c r="H157" s="4"/>
      <c r="I157" s="4"/>
      <c r="J157" s="71"/>
      <c r="K157" s="71"/>
      <c r="L157" s="4"/>
    </row>
    <row r="158" spans="1:12" x14ac:dyDescent="0.2">
      <c r="A158" s="56" t="s">
        <v>237</v>
      </c>
      <c r="B158" s="54"/>
      <c r="C158" s="74">
        <f>990.15+990.15+990.15+990.15+990.15+990.15+990.15+990.15+990.15+990.15+990.15+990.15</f>
        <v>11881.799999999997</v>
      </c>
      <c r="D158" s="87"/>
      <c r="E158" s="86"/>
      <c r="F158" s="4"/>
      <c r="G158" s="4"/>
      <c r="H158" s="4"/>
      <c r="I158" s="4"/>
      <c r="J158" s="71"/>
      <c r="K158" s="71"/>
      <c r="L158" s="4"/>
    </row>
    <row r="159" spans="1:12" x14ac:dyDescent="0.2">
      <c r="A159" s="56"/>
      <c r="B159" s="54"/>
      <c r="C159" s="75"/>
      <c r="D159" s="88"/>
      <c r="E159" s="89"/>
      <c r="F159" s="4"/>
      <c r="G159" s="4"/>
      <c r="H159" s="4"/>
      <c r="I159" s="4"/>
      <c r="J159" s="71"/>
      <c r="K159" s="71"/>
      <c r="L159" s="4"/>
    </row>
    <row r="160" spans="1:12" ht="15.75" x14ac:dyDescent="0.25">
      <c r="A160" s="57"/>
      <c r="B160" s="58"/>
      <c r="C160" s="76">
        <f>SUM(C153:C159)</f>
        <v>23865.299999999996</v>
      </c>
      <c r="D160" s="88"/>
      <c r="E160" s="89"/>
      <c r="F160" s="4"/>
      <c r="G160" s="4"/>
      <c r="H160" s="4"/>
      <c r="I160" s="4"/>
      <c r="J160" s="71"/>
      <c r="K160" s="71"/>
      <c r="L160" s="4"/>
    </row>
    <row r="161" spans="1:13" ht="2.1" customHeight="1" x14ac:dyDescent="0.25">
      <c r="A161" s="57"/>
      <c r="B161" s="58"/>
      <c r="C161" s="77"/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/>
      <c r="B162" s="54"/>
      <c r="C162" s="74"/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ht="2.1" customHeight="1" thickBot="1" x14ac:dyDescent="0.3">
      <c r="A163" s="59" t="s">
        <v>244</v>
      </c>
      <c r="B163" s="60"/>
      <c r="C163" s="73">
        <f>C150+C160</f>
        <v>2213756.9699999997</v>
      </c>
      <c r="D163" s="85"/>
      <c r="E163" s="86"/>
      <c r="F163" s="4"/>
      <c r="G163" s="4"/>
      <c r="H163" s="4"/>
      <c r="I163" s="4"/>
      <c r="J163" s="71"/>
      <c r="K163" s="71"/>
      <c r="L163" s="4"/>
    </row>
    <row r="164" spans="1:13" ht="9.9499999999999993" customHeight="1" x14ac:dyDescent="0.2">
      <c r="A164" s="56"/>
      <c r="B164" s="54"/>
      <c r="C164" s="74"/>
      <c r="D164" s="85"/>
      <c r="E164" s="86"/>
      <c r="F164" s="4"/>
      <c r="G164" s="4"/>
      <c r="H164" s="4"/>
      <c r="I164" s="4"/>
      <c r="J164" s="71"/>
      <c r="K164" s="71"/>
      <c r="L164" s="4"/>
    </row>
    <row r="165" spans="1:13" ht="16.5" thickBot="1" x14ac:dyDescent="0.3">
      <c r="A165" s="59" t="s">
        <v>255</v>
      </c>
      <c r="B165" s="60"/>
      <c r="C165" s="73">
        <f>C150+C160</f>
        <v>2213756.9699999997</v>
      </c>
      <c r="D165" s="85"/>
      <c r="E165" s="86"/>
      <c r="F165" s="4"/>
      <c r="G165" s="4"/>
      <c r="H165" s="4"/>
      <c r="I165" s="4"/>
      <c r="J165" s="71"/>
      <c r="K165" s="71"/>
      <c r="L165" s="4"/>
      <c r="M165" s="4"/>
    </row>
    <row r="166" spans="1:13" x14ac:dyDescent="0.2">
      <c r="A166" s="61"/>
      <c r="B166" s="61"/>
      <c r="C166" s="62"/>
      <c r="D166" s="4"/>
      <c r="E166" s="4"/>
      <c r="F166" s="4"/>
      <c r="G166" s="4"/>
      <c r="H166" s="4"/>
      <c r="I166" s="4"/>
      <c r="J166" s="71"/>
      <c r="K166" s="71"/>
      <c r="L166" s="4"/>
    </row>
    <row r="167" spans="1:13" x14ac:dyDescent="0.2">
      <c r="C167" s="62"/>
      <c r="D167" s="4"/>
    </row>
    <row r="168" spans="1:13" x14ac:dyDescent="0.2">
      <c r="C168" s="14"/>
      <c r="D168" s="4"/>
    </row>
    <row r="169" spans="1:13" x14ac:dyDescent="0.2">
      <c r="C169" s="14"/>
      <c r="D169" s="4"/>
    </row>
    <row r="170" spans="1:13" x14ac:dyDescent="0.2">
      <c r="C170" s="15"/>
      <c r="D170" s="4"/>
      <c r="I170" s="4"/>
      <c r="K170" s="71"/>
      <c r="L170" s="4"/>
    </row>
    <row r="171" spans="1:13" x14ac:dyDescent="0.2">
      <c r="C171" s="15"/>
      <c r="D171" s="4"/>
    </row>
    <row r="172" spans="1:13" x14ac:dyDescent="0.2">
      <c r="C172" s="15"/>
      <c r="D172" s="4"/>
    </row>
    <row r="173" spans="1:13" x14ac:dyDescent="0.2">
      <c r="C173" s="15"/>
      <c r="D173" s="4"/>
    </row>
    <row r="174" spans="1:13" x14ac:dyDescent="0.2">
      <c r="C174" s="15"/>
      <c r="D174" s="4"/>
    </row>
    <row r="175" spans="1:13" x14ac:dyDescent="0.2">
      <c r="D175" s="4"/>
    </row>
    <row r="176" spans="1:13" x14ac:dyDescent="0.2">
      <c r="D176" s="4"/>
    </row>
    <row r="177" spans="2:12" x14ac:dyDescent="0.2">
      <c r="B177" s="11" t="s">
        <v>242</v>
      </c>
      <c r="D177" s="13" t="s">
        <v>231</v>
      </c>
      <c r="I177" s="13" t="s">
        <v>240</v>
      </c>
      <c r="K177" s="79"/>
    </row>
    <row r="178" spans="2:12" x14ac:dyDescent="0.2">
      <c r="B178" s="11" t="s">
        <v>90</v>
      </c>
      <c r="D178" s="13" t="s">
        <v>91</v>
      </c>
      <c r="I178" s="11" t="s">
        <v>252</v>
      </c>
    </row>
    <row r="182" spans="2:12" x14ac:dyDescent="0.2">
      <c r="I182" s="4"/>
      <c r="K182" s="71"/>
      <c r="L182" s="4"/>
    </row>
    <row r="183" spans="2:12" x14ac:dyDescent="0.2">
      <c r="I183" s="4"/>
      <c r="K183" s="71"/>
      <c r="L183" s="4"/>
    </row>
    <row r="184" spans="2:12" x14ac:dyDescent="0.2">
      <c r="G184" s="63"/>
      <c r="I184" s="63"/>
      <c r="K184" s="72"/>
      <c r="L184" s="4"/>
    </row>
    <row r="185" spans="2:12" x14ac:dyDescent="0.2">
      <c r="G185" s="63"/>
      <c r="I185" s="63"/>
      <c r="K185" s="72"/>
      <c r="L185" s="4"/>
    </row>
    <row r="186" spans="2:12" x14ac:dyDescent="0.2">
      <c r="G186" s="63"/>
      <c r="L186" s="4"/>
    </row>
    <row r="187" spans="2:12" x14ac:dyDescent="0.2">
      <c r="G187" s="63"/>
    </row>
    <row r="188" spans="2:12" x14ac:dyDescent="0.2">
      <c r="G188" s="63"/>
    </row>
    <row r="189" spans="2:12" x14ac:dyDescent="0.2">
      <c r="G189" s="63"/>
      <c r="L189" s="4"/>
    </row>
    <row r="190" spans="2:12" x14ac:dyDescent="0.2">
      <c r="G190" s="63"/>
    </row>
    <row r="191" spans="2:12" x14ac:dyDescent="0.2">
      <c r="G191" s="63"/>
    </row>
    <row r="192" spans="2:12" x14ac:dyDescent="0.2">
      <c r="G192" s="63"/>
    </row>
    <row r="193" spans="7:7" x14ac:dyDescent="0.2">
      <c r="G193" s="63"/>
    </row>
    <row r="194" spans="7:7" x14ac:dyDescent="0.2">
      <c r="G194" s="63"/>
    </row>
    <row r="195" spans="7:7" x14ac:dyDescent="0.2">
      <c r="G195" s="63"/>
    </row>
    <row r="196" spans="7:7" x14ac:dyDescent="0.2">
      <c r="G196" s="63"/>
    </row>
    <row r="197" spans="7:7" x14ac:dyDescent="0.2">
      <c r="G197" s="63"/>
    </row>
    <row r="198" spans="7:7" x14ac:dyDescent="0.2">
      <c r="G198" s="63"/>
    </row>
    <row r="199" spans="7:7" x14ac:dyDescent="0.2">
      <c r="G199" s="63"/>
    </row>
    <row r="200" spans="7:7" x14ac:dyDescent="0.2">
      <c r="G200" s="63"/>
    </row>
    <row r="201" spans="7:7" x14ac:dyDescent="0.2">
      <c r="G201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opLeftCell="A131"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260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93" t="s">
        <v>13</v>
      </c>
      <c r="J7" s="66" t="s">
        <v>12</v>
      </c>
      <c r="K7" s="94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22000</v>
      </c>
      <c r="N10" s="30">
        <f t="shared" ref="N10:N22" si="1">L10-M10</f>
        <v>11000</v>
      </c>
      <c r="O10" s="29">
        <f>M10/$M$26</f>
        <v>1.8437255538752698E-2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v>240</v>
      </c>
      <c r="N12" s="30">
        <f t="shared" si="1"/>
        <v>24760</v>
      </c>
      <c r="O12" s="29">
        <f>M12/$M$26</f>
        <v>2.0113369678639308E-4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1012.79</v>
      </c>
      <c r="N15" s="30">
        <f t="shared" si="1"/>
        <v>2287.21</v>
      </c>
      <c r="O15" s="29">
        <f>M15/$M$26</f>
        <v>8.4877581986787928E-4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3328145.92</v>
      </c>
      <c r="M18" s="30">
        <v>685960.93</v>
      </c>
      <c r="N18" s="30">
        <f t="shared" si="1"/>
        <v>2642184.9899999998</v>
      </c>
      <c r="O18" s="29">
        <f>M18/$M$26</f>
        <v>0.57487440709138427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v>437360.26</v>
      </c>
      <c r="N20" s="30">
        <f t="shared" si="1"/>
        <v>2756547.95</v>
      </c>
      <c r="O20" s="29">
        <f>M20/$M$26</f>
        <v>0.36653285800524182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v>46662.18</v>
      </c>
      <c r="N22" s="30">
        <f t="shared" si="1"/>
        <v>192839.72</v>
      </c>
      <c r="O22" s="29">
        <f>M22/$M$26</f>
        <v>3.9105569847967064E-2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1193236.1599999999</v>
      </c>
      <c r="N26" s="36">
        <f t="shared" si="2"/>
        <v>6636634.3799999999</v>
      </c>
      <c r="O26" s="29"/>
    </row>
    <row r="27" spans="1:15" ht="15.95" customHeight="1" x14ac:dyDescent="0.2">
      <c r="A27" s="37"/>
      <c r="B27" s="37"/>
      <c r="C27" s="38">
        <f>6416776.61-C26</f>
        <v>-1413093.9299999997</v>
      </c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178338</v>
      </c>
      <c r="N31" s="30">
        <f t="shared" ref="N31:N99" si="3">L31-M31</f>
        <v>606234.04</v>
      </c>
      <c r="O31" s="40">
        <f>M31/$M$138</f>
        <v>0.30310850658392235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2250</v>
      </c>
      <c r="N32" s="30">
        <f t="shared" si="3"/>
        <v>6450</v>
      </c>
      <c r="O32" s="40">
        <f>M32/$M$138</f>
        <v>3.8241661329263829E-3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v>56700</v>
      </c>
      <c r="N33" s="30">
        <f t="shared" si="3"/>
        <v>224400</v>
      </c>
      <c r="O33" s="40">
        <f>M33/$M$138</f>
        <v>9.6368986549744851E-2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v>70580.86</v>
      </c>
      <c r="N34" s="30">
        <f t="shared" si="3"/>
        <v>466419.14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v>1613.71</v>
      </c>
      <c r="N36" s="30">
        <f t="shared" si="3"/>
        <v>32897.090000000004</v>
      </c>
      <c r="O36" s="40">
        <f t="shared" si="5"/>
        <v>2.7427089468287261E-3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v>19200.849999999999</v>
      </c>
      <c r="N37" s="30">
        <f t="shared" si="3"/>
        <v>68200.299999999988</v>
      </c>
      <c r="O37" s="40">
        <f t="shared" si="5"/>
        <v>3.2634329019288678E-2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v>1799.52</v>
      </c>
      <c r="N38" s="30">
        <f t="shared" si="3"/>
        <v>6391.32</v>
      </c>
      <c r="O38" s="40">
        <f t="shared" si="5"/>
        <v>3.0585170842327486E-3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/>
      <c r="N39" s="30">
        <f t="shared" si="3"/>
        <v>67581.009999999995</v>
      </c>
      <c r="O39" s="40">
        <f t="shared" si="5"/>
        <v>0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/>
      <c r="N40" s="30">
        <f t="shared" si="3"/>
        <v>67581.009999999995</v>
      </c>
      <c r="O40" s="40">
        <f t="shared" si="5"/>
        <v>0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/>
      <c r="N41" s="30">
        <f t="shared" si="3"/>
        <v>4400</v>
      </c>
      <c r="O41" s="40">
        <f t="shared" si="5"/>
        <v>0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1827.68</v>
      </c>
      <c r="N45" s="30">
        <f t="shared" si="3"/>
        <v>11922.32</v>
      </c>
      <c r="O45" s="40">
        <f t="shared" ref="O45:O54" si="7">M45/$M$138</f>
        <v>3.1063786479230628E-3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5849.76</v>
      </c>
      <c r="N46" s="30">
        <f t="shared" si="3"/>
        <v>20250.239999999998</v>
      </c>
      <c r="O46" s="40">
        <f t="shared" si="7"/>
        <v>9.9424240345544167E-3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3.4672439605199202E-3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593.75</v>
      </c>
      <c r="N49" s="30">
        <f t="shared" si="3"/>
        <v>13656.25</v>
      </c>
      <c r="O49" s="40">
        <f t="shared" si="7"/>
        <v>1.0091549517444621E-3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/>
      <c r="H50" s="30"/>
      <c r="I50" s="30"/>
      <c r="J50" s="46"/>
      <c r="K50" s="46"/>
      <c r="L50" s="30">
        <f t="shared" si="6"/>
        <v>1615190.72</v>
      </c>
      <c r="M50" s="30">
        <v>101155.28</v>
      </c>
      <c r="N50" s="30">
        <f t="shared" si="3"/>
        <v>1514035.44</v>
      </c>
      <c r="O50" s="40">
        <f t="shared" si="7"/>
        <v>0.17192648708563799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/>
      <c r="G51" s="46"/>
      <c r="H51" s="30"/>
      <c r="I51" s="30"/>
      <c r="J51" s="46"/>
      <c r="K51" s="46"/>
      <c r="L51" s="30">
        <f t="shared" si="6"/>
        <v>361792.7</v>
      </c>
      <c r="M51" s="30">
        <v>3225</v>
      </c>
      <c r="N51" s="30">
        <f t="shared" si="3"/>
        <v>358567.7</v>
      </c>
      <c r="O51" s="40">
        <f t="shared" si="7"/>
        <v>5.4813047905278153E-3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v>33992.79</v>
      </c>
      <c r="N52" s="30">
        <f t="shared" si="3"/>
        <v>597592.57999999996</v>
      </c>
      <c r="O52" s="40">
        <f t="shared" si="7"/>
        <v>5.7775145014079383E-2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70750</v>
      </c>
      <c r="M53" s="30"/>
      <c r="N53" s="30">
        <f t="shared" si="3"/>
        <v>70750</v>
      </c>
      <c r="O53" s="40">
        <f t="shared" si="7"/>
        <v>0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42500</v>
      </c>
      <c r="M54" s="30"/>
      <c r="N54" s="30">
        <f t="shared" si="3"/>
        <v>42500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/>
      <c r="N55" s="30">
        <f t="shared" si="3"/>
        <v>90000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/>
      <c r="N56" s="30">
        <f t="shared" si="3"/>
        <v>4400</v>
      </c>
      <c r="O56" s="40">
        <f t="shared" ref="O56:O61" si="8">M56/$M$138</f>
        <v>0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v>565.6</v>
      </c>
      <c r="N59" s="30">
        <f t="shared" si="3"/>
        <v>6434.4</v>
      </c>
      <c r="O59" s="40">
        <f t="shared" si="8"/>
        <v>9.6131038434807208E-4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450</v>
      </c>
      <c r="N60" s="30">
        <f t="shared" si="3"/>
        <v>13550</v>
      </c>
      <c r="O60" s="40">
        <f t="shared" si="8"/>
        <v>7.648332265852765E-4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/>
      <c r="H63" s="30"/>
      <c r="I63" s="30"/>
      <c r="J63" s="46"/>
      <c r="K63" s="46"/>
      <c r="L63" s="30">
        <f t="shared" si="6"/>
        <v>100000</v>
      </c>
      <c r="M63" s="30"/>
      <c r="N63" s="30">
        <f t="shared" si="3"/>
        <v>100000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9750</v>
      </c>
      <c r="M64" s="30"/>
      <c r="N64" s="30">
        <f t="shared" si="3"/>
        <v>9750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0</v>
      </c>
      <c r="M66" s="30"/>
      <c r="N66" s="30">
        <f t="shared" si="3"/>
        <v>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6.7985175696469024E-4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13500</v>
      </c>
      <c r="N68" s="30">
        <f t="shared" si="3"/>
        <v>40500</v>
      </c>
      <c r="O68" s="40">
        <f t="shared" si="9"/>
        <v>2.2944996797558296E-2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v>250</v>
      </c>
      <c r="N69" s="30">
        <f t="shared" si="3"/>
        <v>7250</v>
      </c>
      <c r="O69" s="40">
        <f t="shared" si="9"/>
        <v>4.2490734810293144E-4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8000</v>
      </c>
      <c r="M71" s="30">
        <v>800</v>
      </c>
      <c r="N71" s="30">
        <f t="shared" si="3"/>
        <v>7200</v>
      </c>
      <c r="O71" s="40">
        <f t="shared" si="9"/>
        <v>1.3597035139293805E-3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/>
      <c r="H73" s="30"/>
      <c r="I73" s="30"/>
      <c r="J73" s="46"/>
      <c r="K73" s="46"/>
      <c r="L73" s="30">
        <f t="shared" si="6"/>
        <v>144800</v>
      </c>
      <c r="M73" s="30"/>
      <c r="N73" s="30">
        <f t="shared" si="3"/>
        <v>144800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531.04999999999995</v>
      </c>
      <c r="N75" s="30">
        <f t="shared" si="3"/>
        <v>1968.95</v>
      </c>
      <c r="O75" s="40">
        <f t="shared" si="9"/>
        <v>9.0258818884024689E-4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108251.07</v>
      </c>
      <c r="M76" s="30">
        <v>40.200000000000003</v>
      </c>
      <c r="N76" s="30">
        <f t="shared" si="3"/>
        <v>108210.87000000001</v>
      </c>
      <c r="O76" s="40">
        <f t="shared" si="9"/>
        <v>6.8325101574951379E-5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/>
      <c r="G77" s="46"/>
      <c r="H77" s="30"/>
      <c r="I77" s="30"/>
      <c r="J77" s="46"/>
      <c r="K77" s="46"/>
      <c r="L77" s="30">
        <f t="shared" si="6"/>
        <v>2000</v>
      </c>
      <c r="M77" s="30"/>
      <c r="N77" s="30">
        <f t="shared" si="3"/>
        <v>2000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/>
      <c r="N78" s="30">
        <f t="shared" si="3"/>
        <v>46100</v>
      </c>
      <c r="O78" s="40">
        <f t="shared" si="9"/>
        <v>0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/>
      <c r="H79" s="30"/>
      <c r="I79" s="30"/>
      <c r="J79" s="46"/>
      <c r="K79" s="46"/>
      <c r="L79" s="30">
        <f t="shared" si="6"/>
        <v>76000</v>
      </c>
      <c r="M79" s="30">
        <v>107.5</v>
      </c>
      <c r="N79" s="30">
        <f t="shared" si="3"/>
        <v>75892.5</v>
      </c>
      <c r="O79" s="40">
        <f t="shared" si="9"/>
        <v>1.8271015968426052E-4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/>
      <c r="G83" s="46"/>
      <c r="H83" s="30"/>
      <c r="I83" s="30"/>
      <c r="J83" s="46"/>
      <c r="K83" s="46"/>
      <c r="L83" s="30">
        <f t="shared" ref="L83:L119" si="10">C83+D83-E83+F83-G83+H83-I83+J83-K83</f>
        <v>114414.1</v>
      </c>
      <c r="M83" s="30">
        <v>5349.4</v>
      </c>
      <c r="N83" s="30">
        <f t="shared" si="3"/>
        <v>109064.70000000001</v>
      </c>
      <c r="O83" s="40">
        <f t="shared" ref="O83:O119" si="11">M83/$M$138</f>
        <v>9.0919974717672842E-3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/>
      <c r="G87" s="46"/>
      <c r="H87" s="30"/>
      <c r="I87" s="30"/>
      <c r="J87" s="46"/>
      <c r="K87" s="46"/>
      <c r="L87" s="30">
        <f t="shared" si="10"/>
        <v>2750</v>
      </c>
      <c r="M87" s="30"/>
      <c r="N87" s="30">
        <f t="shared" si="3"/>
        <v>2750</v>
      </c>
      <c r="O87" s="40">
        <f t="shared" si="11"/>
        <v>0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/>
      <c r="G88" s="46"/>
      <c r="H88" s="30"/>
      <c r="I88" s="30"/>
      <c r="J88" s="46"/>
      <c r="K88" s="46"/>
      <c r="L88" s="30">
        <f t="shared" si="10"/>
        <v>16800</v>
      </c>
      <c r="M88" s="30">
        <v>2040</v>
      </c>
      <c r="N88" s="30">
        <f t="shared" si="3"/>
        <v>14760</v>
      </c>
      <c r="O88" s="40">
        <f t="shared" si="11"/>
        <v>3.4672439605199202E-3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520</v>
      </c>
      <c r="N89" s="30">
        <f t="shared" si="3"/>
        <v>4730</v>
      </c>
      <c r="O89" s="40">
        <f t="shared" si="11"/>
        <v>8.8380728405409732E-4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v>1779.68</v>
      </c>
      <c r="N90" s="30">
        <f t="shared" si="3"/>
        <v>3720.3199999999997</v>
      </c>
      <c r="O90" s="40">
        <f t="shared" si="11"/>
        <v>3.0247964370873001E-3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472.33</v>
      </c>
      <c r="N91" s="30">
        <f t="shared" si="3"/>
        <v>2577.67</v>
      </c>
      <c r="O91" s="40">
        <f t="shared" si="11"/>
        <v>8.0278595091783035E-4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1.6996293924117258E-5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/>
      <c r="N94" s="30">
        <f t="shared" si="3"/>
        <v>2700</v>
      </c>
      <c r="O94" s="40">
        <f t="shared" si="11"/>
        <v>0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/>
      <c r="N95" s="30">
        <f t="shared" si="3"/>
        <v>2800</v>
      </c>
      <c r="O95" s="40">
        <f t="shared" si="11"/>
        <v>0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714.82</v>
      </c>
      <c r="N96" s="30">
        <f t="shared" si="3"/>
        <v>7785.18</v>
      </c>
      <c r="O96" s="40">
        <f t="shared" si="11"/>
        <v>1.2149290822837499E-3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471.93</v>
      </c>
      <c r="N97" s="30">
        <f t="shared" si="3"/>
        <v>5528.07</v>
      </c>
      <c r="O97" s="40">
        <f t="shared" si="11"/>
        <v>8.0210609916086574E-4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2365.9</v>
      </c>
      <c r="N98" s="30">
        <f t="shared" si="3"/>
        <v>15134.1</v>
      </c>
      <c r="O98" s="40">
        <f t="shared" si="11"/>
        <v>4.0211531795069019E-3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268.95999999999998</v>
      </c>
      <c r="N99" s="30">
        <f t="shared" si="3"/>
        <v>2731.04</v>
      </c>
      <c r="O99" s="40">
        <f t="shared" si="11"/>
        <v>4.5713232138305771E-4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/>
      <c r="N100" s="30">
        <f t="shared" ref="N100:N137" si="12">L100-M100</f>
        <v>1500</v>
      </c>
      <c r="O100" s="40">
        <f t="shared" si="11"/>
        <v>0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/>
      <c r="H101" s="30"/>
      <c r="I101" s="30"/>
      <c r="J101" s="46"/>
      <c r="K101" s="46"/>
      <c r="L101" s="30">
        <f t="shared" si="10"/>
        <v>210345</v>
      </c>
      <c r="M101" s="30"/>
      <c r="N101" s="30">
        <f t="shared" si="12"/>
        <v>210345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/>
      <c r="N104" s="30">
        <f t="shared" si="12"/>
        <v>1500</v>
      </c>
      <c r="O104" s="40">
        <f t="shared" si="11"/>
        <v>0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/>
      <c r="N108" s="30">
        <f t="shared" si="12"/>
        <v>1800</v>
      </c>
      <c r="O108" s="40">
        <f t="shared" si="11"/>
        <v>0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10"/>
        <v>108800</v>
      </c>
      <c r="M109" s="30"/>
      <c r="N109" s="30">
        <f t="shared" si="12"/>
        <v>108800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10"/>
        <v>800821.67999999993</v>
      </c>
      <c r="M110" s="30">
        <v>11700</v>
      </c>
      <c r="N110" s="30">
        <f t="shared" si="12"/>
        <v>789121.67999999993</v>
      </c>
      <c r="O110" s="40">
        <f t="shared" si="11"/>
        <v>1.9885663891217192E-2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/>
      <c r="N111" s="30">
        <f t="shared" si="12"/>
        <v>1500</v>
      </c>
      <c r="O111" s="40">
        <f t="shared" si="11"/>
        <v>0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704.05</v>
      </c>
      <c r="N113" s="30">
        <f t="shared" si="12"/>
        <v>5895.95</v>
      </c>
      <c r="O113" s="40">
        <f t="shared" si="11"/>
        <v>1.1966240737274754E-3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v>537.77</v>
      </c>
      <c r="N114" s="30">
        <f t="shared" si="12"/>
        <v>1462.23</v>
      </c>
      <c r="O114" s="40">
        <f t="shared" si="11"/>
        <v>9.1400969835725367E-4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10"/>
        <v>115251.9</v>
      </c>
      <c r="M115" s="30"/>
      <c r="N115" s="30">
        <f t="shared" si="12"/>
        <v>115251.9</v>
      </c>
      <c r="O115" s="40">
        <f t="shared" si="11"/>
        <v>0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1.0689819063573549E-3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/>
      <c r="N117" s="30">
        <f t="shared" si="12"/>
        <v>9500</v>
      </c>
      <c r="O117" s="40">
        <f t="shared" si="11"/>
        <v>0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/>
      <c r="H118" s="30"/>
      <c r="I118" s="30"/>
      <c r="J118" s="46"/>
      <c r="K118" s="46"/>
      <c r="L118" s="30">
        <f t="shared" si="10"/>
        <v>101000</v>
      </c>
      <c r="M118" s="30">
        <v>819.13</v>
      </c>
      <c r="N118" s="30">
        <f t="shared" si="12"/>
        <v>100180.87</v>
      </c>
      <c r="O118" s="40">
        <f t="shared" si="11"/>
        <v>1.3922174242062169E-3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v>1202.5</v>
      </c>
      <c r="N119" s="30">
        <f t="shared" si="12"/>
        <v>6297.5</v>
      </c>
      <c r="O119" s="40">
        <f t="shared" si="11"/>
        <v>2.0438043443751002E-3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4.2218794107507264E-3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3"/>
        <v>30000</v>
      </c>
      <c r="M128" s="30">
        <v>9990</v>
      </c>
      <c r="N128" s="30">
        <f t="shared" si="12"/>
        <v>20010</v>
      </c>
      <c r="O128" s="40">
        <f>+M128/M138</f>
        <v>1.6979297630193138E-2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1.5731769656162933E-2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/>
      <c r="N134" s="30">
        <f t="shared" si="12"/>
        <v>185900</v>
      </c>
      <c r="O134" s="40">
        <f>M134/$M$138</f>
        <v>0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/>
      <c r="N135" s="30">
        <f t="shared" si="12"/>
        <v>7170</v>
      </c>
      <c r="O135" s="40">
        <f>M135/$M$138</f>
        <v>0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41236.589999999997</v>
      </c>
      <c r="N136" s="30">
        <f t="shared" si="12"/>
        <v>122463.41</v>
      </c>
      <c r="O136" s="40">
        <f>M136/$M$138</f>
        <v>7.0086920406831441E-2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0</v>
      </c>
      <c r="G138" s="36">
        <f t="shared" si="14"/>
        <v>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588363.56000000006</v>
      </c>
      <c r="N138" s="36">
        <f t="shared" si="14"/>
        <v>7241506.9800000023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/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6" t="s">
        <v>86</v>
      </c>
      <c r="B152" s="54"/>
      <c r="C152" s="74">
        <f>M26</f>
        <v>1193236.1599999999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87</v>
      </c>
      <c r="B153" s="54"/>
      <c r="C153" s="75">
        <f>-M138</f>
        <v>-588363.56000000006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5.75" x14ac:dyDescent="0.25">
      <c r="A154" s="57" t="s">
        <v>88</v>
      </c>
      <c r="B154" s="58"/>
      <c r="C154" s="76">
        <f>SUM(C146:C153)</f>
        <v>2554301.92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/>
      <c r="B155" s="58"/>
      <c r="C155" s="76"/>
      <c r="D155" s="4"/>
      <c r="E155" s="4"/>
      <c r="F155" s="4"/>
      <c r="G155" s="4"/>
      <c r="H155" s="4"/>
      <c r="I155" s="4"/>
      <c r="J155" s="71"/>
      <c r="K155" s="71"/>
      <c r="L155" s="4"/>
    </row>
    <row r="156" spans="1:12" x14ac:dyDescent="0.2">
      <c r="A156" s="53" t="s">
        <v>89</v>
      </c>
      <c r="B156" s="54"/>
      <c r="C156" s="74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ht="12" customHeight="1" x14ac:dyDescent="0.2">
      <c r="A157" s="56" t="s">
        <v>149</v>
      </c>
      <c r="B157" s="54"/>
      <c r="C157" s="74">
        <v>272</v>
      </c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249</v>
      </c>
      <c r="B158" s="54"/>
      <c r="C158" s="74">
        <v>0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x14ac:dyDescent="0.2">
      <c r="A159" s="56" t="s">
        <v>152</v>
      </c>
      <c r="B159" s="54"/>
      <c r="C159" s="74">
        <f>6515.07+610.6+2949.18</f>
        <v>10074.85</v>
      </c>
      <c r="D159" s="85"/>
      <c r="E159" s="86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151</v>
      </c>
      <c r="B160" s="54"/>
      <c r="C160" s="74">
        <f>1902.9-1134.69</f>
        <v>768.21</v>
      </c>
      <c r="D160" s="87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150</v>
      </c>
      <c r="B161" s="54"/>
      <c r="C161" s="74">
        <v>7910.35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237</v>
      </c>
      <c r="B162" s="54"/>
      <c r="C162" s="74">
        <f>990.15+990.15+990.15+990.15+990.15+990.15+990.15+990.15+990.15+990.15+990.15+990.15+990.15</f>
        <v>12871.949999999997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/>
      <c r="B163" s="54"/>
      <c r="C163" s="75"/>
      <c r="D163" s="88"/>
      <c r="E163" s="89"/>
      <c r="F163" s="4"/>
      <c r="G163" s="4"/>
      <c r="H163" s="4"/>
      <c r="I163" s="4"/>
      <c r="J163" s="71"/>
      <c r="K163" s="71"/>
      <c r="L163" s="4"/>
    </row>
    <row r="164" spans="1:13" ht="15.75" x14ac:dyDescent="0.25">
      <c r="A164" s="57"/>
      <c r="B164" s="58"/>
      <c r="C164" s="76">
        <f>SUM(C157:C163)</f>
        <v>31897.360000000001</v>
      </c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2.1" customHeight="1" x14ac:dyDescent="0.25">
      <c r="A165" s="57"/>
      <c r="B165" s="58"/>
      <c r="C165" s="77"/>
      <c r="D165" s="87"/>
      <c r="E165" s="86"/>
      <c r="F165" s="4"/>
      <c r="G165" s="4"/>
      <c r="H165" s="4"/>
      <c r="I165" s="4"/>
      <c r="J165" s="71"/>
      <c r="K165" s="71"/>
      <c r="L165" s="4"/>
    </row>
    <row r="166" spans="1:13" x14ac:dyDescent="0.2">
      <c r="A166" s="56"/>
      <c r="B166" s="54"/>
      <c r="C166" s="74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ht="2.1" customHeight="1" thickBot="1" x14ac:dyDescent="0.3">
      <c r="A167" s="59" t="s">
        <v>244</v>
      </c>
      <c r="B167" s="60"/>
      <c r="C167" s="73">
        <f>C154+C164</f>
        <v>2586199.2799999998</v>
      </c>
      <c r="D167" s="85"/>
      <c r="E167" s="86"/>
      <c r="F167" s="4"/>
      <c r="G167" s="4"/>
      <c r="H167" s="4"/>
      <c r="I167" s="4"/>
      <c r="J167" s="71"/>
      <c r="K167" s="71"/>
      <c r="L167" s="4"/>
    </row>
    <row r="168" spans="1:13" ht="9.9499999999999993" customHeight="1" x14ac:dyDescent="0.2">
      <c r="A168" s="56"/>
      <c r="B168" s="54"/>
      <c r="C168" s="74"/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16.5" thickBot="1" x14ac:dyDescent="0.3">
      <c r="A169" s="59" t="s">
        <v>261</v>
      </c>
      <c r="B169" s="60"/>
      <c r="C169" s="73">
        <f>C154+C164</f>
        <v>2586199.2799999998</v>
      </c>
      <c r="D169" s="85"/>
      <c r="E169" s="86"/>
      <c r="F169" s="4"/>
      <c r="G169" s="4"/>
      <c r="H169" s="4"/>
      <c r="I169" s="4"/>
      <c r="J169" s="71"/>
      <c r="K169" s="71"/>
      <c r="L169" s="4"/>
      <c r="M169" s="4"/>
    </row>
    <row r="170" spans="1:13" x14ac:dyDescent="0.2">
      <c r="A170" s="61"/>
      <c r="B170" s="61"/>
      <c r="C170" s="62"/>
      <c r="D170" s="4"/>
      <c r="E170" s="4"/>
      <c r="F170" s="4"/>
      <c r="G170" s="4"/>
      <c r="H170" s="4"/>
      <c r="I170" s="4"/>
      <c r="J170" s="71"/>
      <c r="K170" s="71"/>
      <c r="L170" s="4"/>
    </row>
    <row r="171" spans="1:13" x14ac:dyDescent="0.2">
      <c r="C171" s="62"/>
      <c r="D171" s="4"/>
    </row>
    <row r="172" spans="1:13" x14ac:dyDescent="0.2">
      <c r="C172" s="14"/>
      <c r="D172" s="4"/>
    </row>
    <row r="173" spans="1:13" x14ac:dyDescent="0.2">
      <c r="C173" s="14"/>
      <c r="D173" s="4"/>
    </row>
    <row r="174" spans="1:13" x14ac:dyDescent="0.2">
      <c r="C174" s="15"/>
      <c r="D174" s="4"/>
      <c r="I174" s="4"/>
      <c r="K174" s="71"/>
      <c r="L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D179" s="4"/>
    </row>
    <row r="180" spans="2:12" x14ac:dyDescent="0.2">
      <c r="D180" s="4"/>
    </row>
    <row r="181" spans="2:12" x14ac:dyDescent="0.2">
      <c r="B181" s="11" t="s">
        <v>242</v>
      </c>
      <c r="D181" s="13" t="s">
        <v>231</v>
      </c>
      <c r="I181" s="13" t="s">
        <v>240</v>
      </c>
      <c r="K181" s="79"/>
    </row>
    <row r="182" spans="2:12" x14ac:dyDescent="0.2">
      <c r="B182" s="11" t="s">
        <v>90</v>
      </c>
      <c r="D182" s="13" t="s">
        <v>91</v>
      </c>
      <c r="I182" s="11" t="s">
        <v>252</v>
      </c>
    </row>
    <row r="186" spans="2:12" x14ac:dyDescent="0.2">
      <c r="I186" s="4"/>
      <c r="K186" s="71"/>
      <c r="L186" s="4"/>
    </row>
    <row r="187" spans="2:12" x14ac:dyDescent="0.2">
      <c r="I187" s="4"/>
      <c r="K187" s="71"/>
      <c r="L187" s="4"/>
    </row>
    <row r="188" spans="2:12" x14ac:dyDescent="0.2">
      <c r="G188" s="63"/>
      <c r="I188" s="63"/>
      <c r="K188" s="72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L190" s="4"/>
    </row>
    <row r="191" spans="2:12" x14ac:dyDescent="0.2">
      <c r="G191" s="63"/>
    </row>
    <row r="192" spans="2:12" x14ac:dyDescent="0.2">
      <c r="G192" s="63"/>
    </row>
    <row r="193" spans="7:12" x14ac:dyDescent="0.2">
      <c r="G193" s="63"/>
      <c r="L193" s="4"/>
    </row>
    <row r="194" spans="7:12" x14ac:dyDescent="0.2">
      <c r="G194" s="63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Normal="100" workbookViewId="0">
      <selection activeCell="K33" sqref="K3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264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96" t="s">
        <v>13</v>
      </c>
      <c r="J7" s="66" t="s">
        <v>12</v>
      </c>
      <c r="K7" s="97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22000</v>
      </c>
      <c r="N10" s="30">
        <f t="shared" ref="N10:N22" si="1">L10-M10</f>
        <v>11000</v>
      </c>
      <c r="O10" s="29">
        <f>M10/$M$26</f>
        <v>1.1112220481122478E-2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v>240</v>
      </c>
      <c r="N12" s="30">
        <f t="shared" si="1"/>
        <v>24760</v>
      </c>
      <c r="O12" s="29">
        <f>M12/$M$26</f>
        <v>1.2122422343042702E-4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1503.97</v>
      </c>
      <c r="N15" s="30">
        <f t="shared" si="1"/>
        <v>1796.03</v>
      </c>
      <c r="O15" s="29">
        <f>M15/$M$26</f>
        <v>7.5965664713608055E-4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3328145.92</v>
      </c>
      <c r="M18" s="30">
        <v>925502.84</v>
      </c>
      <c r="N18" s="30">
        <f t="shared" si="1"/>
        <v>2402643.08</v>
      </c>
      <c r="O18" s="29">
        <f>M18/$M$26</f>
        <v>0.46747234609022814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v>983893.34</v>
      </c>
      <c r="N20" s="30">
        <f t="shared" si="1"/>
        <v>2210014.87</v>
      </c>
      <c r="O20" s="29">
        <f>M20/$M$26</f>
        <v>0.49696544199945458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v>46662.18</v>
      </c>
      <c r="N22" s="30">
        <f t="shared" si="1"/>
        <v>192839.72</v>
      </c>
      <c r="O22" s="29">
        <f>M22/$M$26</f>
        <v>2.3569110558628349E-2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1979802.3299999998</v>
      </c>
      <c r="N26" s="36">
        <f t="shared" si="2"/>
        <v>5850068.21</v>
      </c>
      <c r="O26" s="29"/>
    </row>
    <row r="27" spans="1:15" ht="15.95" customHeight="1" x14ac:dyDescent="0.2">
      <c r="A27" s="37"/>
      <c r="B27" s="37"/>
      <c r="C27" s="38">
        <f>6416776.61-C26</f>
        <v>-1413093.9299999997</v>
      </c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237784</v>
      </c>
      <c r="N31" s="30">
        <f t="shared" ref="N31:N99" si="3">L31-M31</f>
        <v>546788.04</v>
      </c>
      <c r="O31" s="40">
        <f>M31/$M$138</f>
        <v>0.28016299561288022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3000</v>
      </c>
      <c r="N32" s="30">
        <f t="shared" si="3"/>
        <v>5700</v>
      </c>
      <c r="O32" s="40">
        <f>M32/$M$138</f>
        <v>3.5346742709292493E-3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v>75600</v>
      </c>
      <c r="N33" s="30">
        <f t="shared" si="3"/>
        <v>205500</v>
      </c>
      <c r="O33" s="40">
        <f>M33/$M$138</f>
        <v>8.9073791627417076E-2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v>141161.72</v>
      </c>
      <c r="N34" s="30">
        <f t="shared" si="3"/>
        <v>395838.28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v>1613.71</v>
      </c>
      <c r="N36" s="30">
        <f t="shared" si="3"/>
        <v>32897.090000000004</v>
      </c>
      <c r="O36" s="40">
        <f t="shared" si="5"/>
        <v>1.901313072580413E-3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v>25543.74</v>
      </c>
      <c r="N37" s="30">
        <f t="shared" si="3"/>
        <v>61857.409999999989</v>
      </c>
      <c r="O37" s="40">
        <f t="shared" si="5"/>
        <v>3.0096266853768767E-2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v>2393.98</v>
      </c>
      <c r="N38" s="30">
        <f t="shared" si="3"/>
        <v>5796.8600000000006</v>
      </c>
      <c r="O38" s="40">
        <f t="shared" si="5"/>
        <v>2.8206465037064012E-3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/>
      <c r="N39" s="30">
        <f t="shared" si="3"/>
        <v>67581.009999999995</v>
      </c>
      <c r="O39" s="40">
        <f t="shared" si="5"/>
        <v>0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/>
      <c r="N40" s="30">
        <f t="shared" si="3"/>
        <v>67581.009999999995</v>
      </c>
      <c r="O40" s="40">
        <f t="shared" si="5"/>
        <v>0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/>
      <c r="N41" s="30">
        <f t="shared" si="3"/>
        <v>4400</v>
      </c>
      <c r="O41" s="40">
        <f t="shared" si="5"/>
        <v>0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2471.2800000000002</v>
      </c>
      <c r="N45" s="30">
        <f t="shared" si="3"/>
        <v>11278.72</v>
      </c>
      <c r="O45" s="40">
        <f t="shared" ref="O45:O54" si="7">M45/$M$138</f>
        <v>2.9117232774206786E-3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6437.76</v>
      </c>
      <c r="N46" s="30">
        <f t="shared" si="3"/>
        <v>19662.239999999998</v>
      </c>
      <c r="O46" s="40">
        <f t="shared" si="7"/>
        <v>7.5851282114724949E-3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2.4035785042318893E-3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755.25</v>
      </c>
      <c r="N49" s="30">
        <f t="shared" si="3"/>
        <v>13494.75</v>
      </c>
      <c r="O49" s="40">
        <f t="shared" si="7"/>
        <v>8.8985424770643851E-4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/>
      <c r="H50" s="30"/>
      <c r="I50" s="30"/>
      <c r="J50" s="46"/>
      <c r="K50" s="46"/>
      <c r="L50" s="30">
        <f t="shared" si="6"/>
        <v>1615190.72</v>
      </c>
      <c r="M50" s="30">
        <v>139272.78</v>
      </c>
      <c r="N50" s="30">
        <f t="shared" si="3"/>
        <v>1475917.94</v>
      </c>
      <c r="O50" s="40">
        <f t="shared" si="7"/>
        <v>0.1640946373689299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/>
      <c r="G51" s="46"/>
      <c r="H51" s="30"/>
      <c r="I51" s="30"/>
      <c r="J51" s="46"/>
      <c r="K51" s="46"/>
      <c r="L51" s="30">
        <f t="shared" si="6"/>
        <v>361792.7</v>
      </c>
      <c r="M51" s="30">
        <v>55344.480000000003</v>
      </c>
      <c r="N51" s="30">
        <f t="shared" si="3"/>
        <v>306448.22000000003</v>
      </c>
      <c r="O51" s="40">
        <f t="shared" si="7"/>
        <v>6.5208236497986141E-2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v>33992.79</v>
      </c>
      <c r="N52" s="30">
        <f t="shared" si="3"/>
        <v>597592.57999999996</v>
      </c>
      <c r="O52" s="40">
        <f t="shared" si="7"/>
        <v>4.0051146736700356E-2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70750</v>
      </c>
      <c r="M53" s="30"/>
      <c r="N53" s="30">
        <f t="shared" si="3"/>
        <v>70750</v>
      </c>
      <c r="O53" s="40">
        <f t="shared" si="7"/>
        <v>0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42500</v>
      </c>
      <c r="M54" s="30"/>
      <c r="N54" s="30">
        <f t="shared" si="3"/>
        <v>42500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/>
      <c r="N55" s="30">
        <f t="shared" si="3"/>
        <v>90000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/>
      <c r="N56" s="30">
        <f t="shared" si="3"/>
        <v>4400</v>
      </c>
      <c r="O56" s="40">
        <f t="shared" ref="O56:O61" si="8">M56/$M$138</f>
        <v>0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v>565.6</v>
      </c>
      <c r="N59" s="30">
        <f t="shared" si="3"/>
        <v>6434.4</v>
      </c>
      <c r="O59" s="40">
        <f t="shared" si="8"/>
        <v>6.6640392254586108E-4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450</v>
      </c>
      <c r="N60" s="30">
        <f t="shared" si="3"/>
        <v>13550</v>
      </c>
      <c r="O60" s="40">
        <f t="shared" si="8"/>
        <v>5.302011406393874E-4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/>
      <c r="H63" s="30"/>
      <c r="I63" s="30"/>
      <c r="J63" s="46"/>
      <c r="K63" s="46"/>
      <c r="L63" s="30">
        <f t="shared" si="6"/>
        <v>100000</v>
      </c>
      <c r="M63" s="30"/>
      <c r="N63" s="30">
        <f t="shared" si="3"/>
        <v>100000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9750</v>
      </c>
      <c r="M64" s="30"/>
      <c r="N64" s="30">
        <f t="shared" si="3"/>
        <v>9750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0</v>
      </c>
      <c r="M66" s="30"/>
      <c r="N66" s="30">
        <f t="shared" si="3"/>
        <v>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4.7128990279056654E-4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18000</v>
      </c>
      <c r="N68" s="30">
        <f t="shared" si="3"/>
        <v>36000</v>
      </c>
      <c r="O68" s="40">
        <f t="shared" si="9"/>
        <v>2.1208045625575496E-2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v>250</v>
      </c>
      <c r="N69" s="30">
        <f t="shared" si="3"/>
        <v>7250</v>
      </c>
      <c r="O69" s="40">
        <f t="shared" si="9"/>
        <v>2.9455618924410407E-4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8000</v>
      </c>
      <c r="M71" s="30">
        <v>800</v>
      </c>
      <c r="N71" s="30">
        <f t="shared" si="3"/>
        <v>7200</v>
      </c>
      <c r="O71" s="40">
        <f t="shared" si="9"/>
        <v>9.4257980558113308E-4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/>
      <c r="H73" s="30"/>
      <c r="I73" s="30"/>
      <c r="J73" s="46"/>
      <c r="K73" s="46"/>
      <c r="L73" s="30">
        <f t="shared" si="6"/>
        <v>144800</v>
      </c>
      <c r="M73" s="30"/>
      <c r="N73" s="30">
        <f t="shared" si="3"/>
        <v>144800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641.4</v>
      </c>
      <c r="N75" s="30">
        <f t="shared" si="3"/>
        <v>1858.6</v>
      </c>
      <c r="O75" s="40">
        <f t="shared" si="9"/>
        <v>7.5571335912467345E-4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108251.07</v>
      </c>
      <c r="M76" s="30">
        <v>40.200000000000003</v>
      </c>
      <c r="N76" s="30">
        <f t="shared" si="3"/>
        <v>108210.87000000001</v>
      </c>
      <c r="O76" s="40">
        <f t="shared" si="9"/>
        <v>4.7364635230451942E-5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/>
      <c r="G77" s="46"/>
      <c r="H77" s="30"/>
      <c r="I77" s="30"/>
      <c r="J77" s="46"/>
      <c r="K77" s="46"/>
      <c r="L77" s="30">
        <f t="shared" si="6"/>
        <v>2000</v>
      </c>
      <c r="M77" s="30"/>
      <c r="N77" s="30">
        <f t="shared" si="3"/>
        <v>2000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/>
      <c r="N78" s="30">
        <f t="shared" si="3"/>
        <v>46100</v>
      </c>
      <c r="O78" s="40">
        <f t="shared" si="9"/>
        <v>0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/>
      <c r="H79" s="30"/>
      <c r="I79" s="30"/>
      <c r="J79" s="46"/>
      <c r="K79" s="46"/>
      <c r="L79" s="30">
        <f t="shared" si="6"/>
        <v>76000</v>
      </c>
      <c r="M79" s="30">
        <v>142.5</v>
      </c>
      <c r="N79" s="30">
        <f t="shared" si="3"/>
        <v>75857.5</v>
      </c>
      <c r="O79" s="40">
        <f t="shared" si="9"/>
        <v>1.6789702786913934E-4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/>
      <c r="G83" s="46"/>
      <c r="H83" s="30"/>
      <c r="I83" s="30"/>
      <c r="J83" s="46"/>
      <c r="K83" s="46"/>
      <c r="L83" s="30">
        <f t="shared" ref="L83:L119" si="10">C83+D83-E83+F83-G83+H83-I83+J83-K83</f>
        <v>114414.1</v>
      </c>
      <c r="M83" s="30">
        <v>7654</v>
      </c>
      <c r="N83" s="30">
        <f t="shared" si="3"/>
        <v>106760.1</v>
      </c>
      <c r="O83" s="40">
        <f t="shared" ref="O83:O119" si="11">M83/$M$138</f>
        <v>9.0181322898974913E-3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/>
      <c r="G87" s="46"/>
      <c r="H87" s="30"/>
      <c r="I87" s="30"/>
      <c r="J87" s="46"/>
      <c r="K87" s="46"/>
      <c r="L87" s="30">
        <f t="shared" si="10"/>
        <v>2750</v>
      </c>
      <c r="M87" s="30">
        <v>120</v>
      </c>
      <c r="N87" s="30">
        <f t="shared" si="3"/>
        <v>2630</v>
      </c>
      <c r="O87" s="40">
        <f t="shared" si="11"/>
        <v>1.4138697083716998E-4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/>
      <c r="G88" s="46"/>
      <c r="H88" s="30"/>
      <c r="I88" s="30"/>
      <c r="J88" s="46"/>
      <c r="K88" s="46"/>
      <c r="L88" s="30">
        <f t="shared" si="10"/>
        <v>16800</v>
      </c>
      <c r="M88" s="30">
        <v>2040</v>
      </c>
      <c r="N88" s="30">
        <f t="shared" si="3"/>
        <v>14760</v>
      </c>
      <c r="O88" s="40">
        <f t="shared" si="11"/>
        <v>2.4035785042318893E-3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780</v>
      </c>
      <c r="N89" s="30">
        <f t="shared" si="3"/>
        <v>4470</v>
      </c>
      <c r="O89" s="40">
        <f t="shared" si="11"/>
        <v>9.1901531044160474E-4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v>3740.38</v>
      </c>
      <c r="N90" s="30">
        <f t="shared" si="3"/>
        <v>1759.62</v>
      </c>
      <c r="O90" s="40">
        <f t="shared" si="11"/>
        <v>4.4070083164994486E-3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731.86</v>
      </c>
      <c r="N91" s="30">
        <f t="shared" si="3"/>
        <v>2318.14</v>
      </c>
      <c r="O91" s="40">
        <f t="shared" si="11"/>
        <v>8.6229557064076013E-4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1.1782247569764163E-5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/>
      <c r="N94" s="30">
        <f t="shared" si="3"/>
        <v>2700</v>
      </c>
      <c r="O94" s="40">
        <f t="shared" si="11"/>
        <v>0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/>
      <c r="N95" s="30">
        <f t="shared" si="3"/>
        <v>2800</v>
      </c>
      <c r="O95" s="40">
        <f t="shared" si="11"/>
        <v>0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1053.82</v>
      </c>
      <c r="N96" s="30">
        <f t="shared" si="3"/>
        <v>7446.18</v>
      </c>
      <c r="O96" s="40">
        <f t="shared" si="11"/>
        <v>1.2416368133968871E-3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471.93</v>
      </c>
      <c r="N97" s="30">
        <f t="shared" si="3"/>
        <v>5528.07</v>
      </c>
      <c r="O97" s="40">
        <f t="shared" si="11"/>
        <v>5.5603960955988014E-4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2365.9</v>
      </c>
      <c r="N98" s="30">
        <f t="shared" si="3"/>
        <v>15134.1</v>
      </c>
      <c r="O98" s="40">
        <f t="shared" si="11"/>
        <v>2.7875619525305037E-3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268.95999999999998</v>
      </c>
      <c r="N99" s="30">
        <f t="shared" si="3"/>
        <v>2731.04</v>
      </c>
      <c r="O99" s="40">
        <f t="shared" si="11"/>
        <v>3.1689533063637693E-4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/>
      <c r="N100" s="30">
        <f t="shared" ref="N100:N137" si="12">L100-M100</f>
        <v>1500</v>
      </c>
      <c r="O100" s="40">
        <f t="shared" si="11"/>
        <v>0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/>
      <c r="H101" s="30"/>
      <c r="I101" s="30"/>
      <c r="J101" s="46"/>
      <c r="K101" s="46"/>
      <c r="L101" s="30">
        <f t="shared" si="10"/>
        <v>210345</v>
      </c>
      <c r="M101" s="30"/>
      <c r="N101" s="30">
        <f t="shared" si="12"/>
        <v>210345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/>
      <c r="N104" s="30">
        <f t="shared" si="12"/>
        <v>1500</v>
      </c>
      <c r="O104" s="40">
        <f t="shared" si="11"/>
        <v>0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v>21</v>
      </c>
      <c r="N108" s="30">
        <f t="shared" si="12"/>
        <v>1779</v>
      </c>
      <c r="O108" s="40">
        <f t="shared" si="11"/>
        <v>2.4742719896504745E-5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10"/>
        <v>108800</v>
      </c>
      <c r="M109" s="30"/>
      <c r="N109" s="30">
        <f t="shared" si="12"/>
        <v>108800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10"/>
        <v>800821.67999999993</v>
      </c>
      <c r="M110" s="30">
        <v>11700</v>
      </c>
      <c r="N110" s="30">
        <f t="shared" si="12"/>
        <v>789121.67999999993</v>
      </c>
      <c r="O110" s="40">
        <f t="shared" si="11"/>
        <v>1.3785229656624072E-2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/>
      <c r="N111" s="30">
        <f t="shared" si="12"/>
        <v>1500</v>
      </c>
      <c r="O111" s="40">
        <f t="shared" si="11"/>
        <v>0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800.35</v>
      </c>
      <c r="N113" s="30">
        <f t="shared" si="12"/>
        <v>5799.65</v>
      </c>
      <c r="O113" s="40">
        <f t="shared" si="11"/>
        <v>9.4299218424607491E-4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v>758.94</v>
      </c>
      <c r="N114" s="30">
        <f t="shared" si="12"/>
        <v>1241.06</v>
      </c>
      <c r="O114" s="40">
        <f t="shared" si="11"/>
        <v>8.9420189705968149E-4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10"/>
        <v>115251.9</v>
      </c>
      <c r="M115" s="30"/>
      <c r="N115" s="30">
        <f t="shared" si="12"/>
        <v>115251.9</v>
      </c>
      <c r="O115" s="40">
        <f t="shared" si="11"/>
        <v>0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7.410444609003171E-4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/>
      <c r="N117" s="30">
        <f t="shared" si="12"/>
        <v>9500</v>
      </c>
      <c r="O117" s="40">
        <f t="shared" si="11"/>
        <v>0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/>
      <c r="H118" s="30"/>
      <c r="I118" s="30"/>
      <c r="J118" s="46"/>
      <c r="K118" s="46"/>
      <c r="L118" s="30">
        <f t="shared" si="10"/>
        <v>101000</v>
      </c>
      <c r="M118" s="30">
        <v>819.13</v>
      </c>
      <c r="N118" s="30">
        <f t="shared" si="12"/>
        <v>100180.87</v>
      </c>
      <c r="O118" s="40">
        <f t="shared" si="11"/>
        <v>9.6511924518209193E-4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v>1501.5</v>
      </c>
      <c r="N119" s="30">
        <f t="shared" si="12"/>
        <v>5998.5</v>
      </c>
      <c r="O119" s="40">
        <f t="shared" si="11"/>
        <v>1.7691044726000891E-3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2.9267102963294184E-3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3"/>
        <v>30000</v>
      </c>
      <c r="M128" s="30">
        <v>9990</v>
      </c>
      <c r="N128" s="30">
        <f t="shared" si="12"/>
        <v>20010</v>
      </c>
      <c r="O128" s="40">
        <f>+M128/M138</f>
        <v>1.17704653221944E-2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1.0905648350573709E-2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/>
      <c r="N134" s="30">
        <f t="shared" si="12"/>
        <v>185900</v>
      </c>
      <c r="O134" s="40">
        <f>M134/$M$138</f>
        <v>0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/>
      <c r="N135" s="30">
        <f t="shared" si="12"/>
        <v>7170</v>
      </c>
      <c r="O135" s="40">
        <f>M135/$M$138</f>
        <v>0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42836.59</v>
      </c>
      <c r="N136" s="30">
        <f t="shared" si="12"/>
        <v>120863.41</v>
      </c>
      <c r="O136" s="40">
        <f>M136/$M$138</f>
        <v>5.0471130842448385E-2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0</v>
      </c>
      <c r="G138" s="36">
        <f t="shared" si="14"/>
        <v>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848734.49999999977</v>
      </c>
      <c r="N138" s="36">
        <f t="shared" si="14"/>
        <v>6981136.0399999991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/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6" t="s">
        <v>86</v>
      </c>
      <c r="B152" s="54"/>
      <c r="C152" s="74">
        <f>M26</f>
        <v>1979802.3299999998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87</v>
      </c>
      <c r="B153" s="54"/>
      <c r="C153" s="75">
        <f>-M138</f>
        <v>-848734.49999999977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5.75" x14ac:dyDescent="0.25">
      <c r="A154" s="57" t="s">
        <v>88</v>
      </c>
      <c r="B154" s="58"/>
      <c r="C154" s="76">
        <f>SUM(C146:C153)</f>
        <v>3080497.1500000004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/>
      <c r="B155" s="58"/>
      <c r="C155" s="76"/>
      <c r="D155" s="4"/>
      <c r="E155" s="4"/>
      <c r="F155" s="4"/>
      <c r="G155" s="4"/>
      <c r="H155" s="4"/>
      <c r="I155" s="4"/>
      <c r="J155" s="71"/>
      <c r="K155" s="71"/>
      <c r="L155" s="4"/>
    </row>
    <row r="156" spans="1:12" x14ac:dyDescent="0.2">
      <c r="A156" s="53" t="s">
        <v>89</v>
      </c>
      <c r="B156" s="54"/>
      <c r="C156" s="74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ht="12" customHeight="1" x14ac:dyDescent="0.2">
      <c r="A157" s="56" t="s">
        <v>149</v>
      </c>
      <c r="B157" s="54"/>
      <c r="C157" s="74">
        <v>272</v>
      </c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249</v>
      </c>
      <c r="B158" s="54"/>
      <c r="C158" s="74">
        <v>0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x14ac:dyDescent="0.2">
      <c r="A159" s="56" t="s">
        <v>152</v>
      </c>
      <c r="B159" s="54"/>
      <c r="C159" s="74">
        <f>6342.89+2871.25+594.46</f>
        <v>9808.5999999999985</v>
      </c>
      <c r="D159" s="85"/>
      <c r="E159" s="86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151</v>
      </c>
      <c r="B160" s="54"/>
      <c r="C160" s="74">
        <v>1911.44</v>
      </c>
      <c r="D160" s="87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150</v>
      </c>
      <c r="B161" s="54"/>
      <c r="C161" s="74">
        <v>4920.84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237</v>
      </c>
      <c r="B162" s="54"/>
      <c r="C162" s="74">
        <f>990.15+990.15+990.15+990.15+990.15+990.15+990.15+990.15+990.15+990.15+990.15+990.15+990.15+990.15</f>
        <v>13862.099999999997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/>
      <c r="B163" s="54"/>
      <c r="C163" s="75"/>
      <c r="D163" s="88"/>
      <c r="E163" s="89"/>
      <c r="F163" s="4"/>
      <c r="G163" s="4"/>
      <c r="H163" s="4"/>
      <c r="I163" s="4"/>
      <c r="J163" s="71"/>
      <c r="K163" s="71"/>
      <c r="L163" s="4"/>
    </row>
    <row r="164" spans="1:13" ht="15.75" x14ac:dyDescent="0.25">
      <c r="A164" s="57"/>
      <c r="B164" s="58"/>
      <c r="C164" s="76">
        <f>SUM(C157:C163)</f>
        <v>30774.979999999996</v>
      </c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2.1" customHeight="1" x14ac:dyDescent="0.25">
      <c r="A165" s="57"/>
      <c r="B165" s="58"/>
      <c r="C165" s="77"/>
      <c r="D165" s="87"/>
      <c r="E165" s="86"/>
      <c r="F165" s="4"/>
      <c r="G165" s="4"/>
      <c r="H165" s="4"/>
      <c r="I165" s="4"/>
      <c r="J165" s="71"/>
      <c r="K165" s="71"/>
      <c r="L165" s="4"/>
    </row>
    <row r="166" spans="1:13" x14ac:dyDescent="0.2">
      <c r="A166" s="56"/>
      <c r="B166" s="54"/>
      <c r="C166" s="74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ht="2.1" customHeight="1" thickBot="1" x14ac:dyDescent="0.3">
      <c r="A167" s="59" t="s">
        <v>244</v>
      </c>
      <c r="B167" s="60"/>
      <c r="C167" s="73">
        <f>C154+C164</f>
        <v>3111272.1300000004</v>
      </c>
      <c r="D167" s="85"/>
      <c r="E167" s="86"/>
      <c r="F167" s="4"/>
      <c r="G167" s="4"/>
      <c r="H167" s="4"/>
      <c r="I167" s="4"/>
      <c r="J167" s="71"/>
      <c r="K167" s="71"/>
      <c r="L167" s="4"/>
    </row>
    <row r="168" spans="1:13" ht="9.9499999999999993" customHeight="1" x14ac:dyDescent="0.2">
      <c r="A168" s="56"/>
      <c r="B168" s="54"/>
      <c r="C168" s="74"/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16.5" thickBot="1" x14ac:dyDescent="0.3">
      <c r="A169" s="59" t="s">
        <v>265</v>
      </c>
      <c r="B169" s="60"/>
      <c r="C169" s="73">
        <f>C154+C164</f>
        <v>3111272.1300000004</v>
      </c>
      <c r="D169" s="85"/>
      <c r="E169" s="86"/>
      <c r="F169" s="4"/>
      <c r="G169" s="4"/>
      <c r="H169" s="4"/>
      <c r="I169" s="4"/>
      <c r="J169" s="71"/>
      <c r="K169" s="71"/>
      <c r="L169" s="4"/>
      <c r="M169" s="4"/>
    </row>
    <row r="170" spans="1:13" x14ac:dyDescent="0.2">
      <c r="A170" s="61"/>
      <c r="B170" s="61"/>
      <c r="C170" s="62"/>
      <c r="D170" s="4"/>
      <c r="E170" s="4"/>
      <c r="F170" s="4"/>
      <c r="G170" s="4"/>
      <c r="H170" s="4"/>
      <c r="I170" s="4"/>
      <c r="J170" s="71"/>
      <c r="K170" s="71"/>
      <c r="L170" s="4"/>
    </row>
    <row r="171" spans="1:13" x14ac:dyDescent="0.2">
      <c r="C171" s="62"/>
      <c r="D171" s="4"/>
    </row>
    <row r="172" spans="1:13" x14ac:dyDescent="0.2">
      <c r="C172" s="14"/>
      <c r="D172" s="4"/>
    </row>
    <row r="173" spans="1:13" x14ac:dyDescent="0.2">
      <c r="C173" s="14"/>
      <c r="D173" s="4"/>
    </row>
    <row r="174" spans="1:13" x14ac:dyDescent="0.2">
      <c r="C174" s="15"/>
      <c r="D174" s="4"/>
      <c r="I174" s="4"/>
      <c r="K174" s="71"/>
      <c r="L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D179" s="4"/>
    </row>
    <row r="180" spans="2:12" x14ac:dyDescent="0.2">
      <c r="D180" s="4"/>
    </row>
    <row r="181" spans="2:12" x14ac:dyDescent="0.2">
      <c r="B181" s="13" t="s">
        <v>231</v>
      </c>
      <c r="D181" s="13"/>
      <c r="I181" s="13" t="s">
        <v>240</v>
      </c>
      <c r="K181" s="79"/>
    </row>
    <row r="182" spans="2:12" x14ac:dyDescent="0.2">
      <c r="B182" s="13" t="s">
        <v>91</v>
      </c>
      <c r="D182" s="13"/>
      <c r="I182" s="11" t="s">
        <v>252</v>
      </c>
    </row>
    <row r="186" spans="2:12" x14ac:dyDescent="0.2">
      <c r="I186" s="4"/>
      <c r="K186" s="71"/>
      <c r="L186" s="4"/>
    </row>
    <row r="187" spans="2:12" x14ac:dyDescent="0.2">
      <c r="I187" s="4"/>
      <c r="K187" s="71"/>
      <c r="L187" s="4"/>
    </row>
    <row r="188" spans="2:12" x14ac:dyDescent="0.2">
      <c r="G188" s="63"/>
      <c r="I188" s="63"/>
      <c r="K188" s="72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L190" s="4"/>
    </row>
    <row r="191" spans="2:12" x14ac:dyDescent="0.2">
      <c r="G191" s="63"/>
    </row>
    <row r="192" spans="2:12" x14ac:dyDescent="0.2">
      <c r="G192" s="63"/>
    </row>
    <row r="193" spans="7:12" x14ac:dyDescent="0.2">
      <c r="G193" s="63"/>
      <c r="L193" s="4"/>
    </row>
    <row r="194" spans="7:12" x14ac:dyDescent="0.2">
      <c r="G194" s="63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opLeftCell="A17" zoomScaleNormal="100" workbookViewId="0">
      <selection activeCell="A136" sqref="A13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266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98" t="s">
        <v>13</v>
      </c>
      <c r="J7" s="66" t="s">
        <v>12</v>
      </c>
      <c r="K7" s="99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22200</v>
      </c>
      <c r="N10" s="30">
        <f t="shared" ref="N10:N22" si="1">L10-M10</f>
        <v>10800</v>
      </c>
      <c r="O10" s="29">
        <f>M10/$M$26</f>
        <v>9.7003635053920442E-3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v>240</v>
      </c>
      <c r="N12" s="30">
        <f t="shared" si="1"/>
        <v>24760</v>
      </c>
      <c r="O12" s="29">
        <f>M12/$M$26</f>
        <v>1.0486879465288696E-4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2030.59</v>
      </c>
      <c r="N15" s="30">
        <f t="shared" si="1"/>
        <v>1269.4100000000001</v>
      </c>
      <c r="O15" s="29">
        <f>M15/$M$26</f>
        <v>8.8727302389252386E-4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3328145.92</v>
      </c>
      <c r="M18" s="30">
        <v>1148712.3500000001</v>
      </c>
      <c r="N18" s="30">
        <f t="shared" si="1"/>
        <v>2179433.5699999998</v>
      </c>
      <c r="O18" s="29">
        <f>M18/$M$26</f>
        <v>0.50193366478077184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v>1068728.9099999999</v>
      </c>
      <c r="N20" s="30">
        <f t="shared" si="1"/>
        <v>2125179.2999999998</v>
      </c>
      <c r="O20" s="29">
        <f>M20/$M$26</f>
        <v>0.46698463584330713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v>46662.18</v>
      </c>
      <c r="N22" s="30">
        <f t="shared" si="1"/>
        <v>192839.72</v>
      </c>
      <c r="O22" s="29">
        <f>M22/$M$26</f>
        <v>2.0389194051983538E-2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2288574.0300000003</v>
      </c>
      <c r="N26" s="36">
        <f t="shared" si="2"/>
        <v>5541296.5099999988</v>
      </c>
      <c r="O26" s="29"/>
    </row>
    <row r="27" spans="1:15" ht="15.95" customHeight="1" x14ac:dyDescent="0.2">
      <c r="A27" s="37"/>
      <c r="B27" s="37"/>
      <c r="C27" s="38">
        <f>6416776.61-C26</f>
        <v>-1413093.9299999997</v>
      </c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297230</v>
      </c>
      <c r="N31" s="30">
        <f t="shared" ref="N31:N99" si="3">L31-M31</f>
        <v>487342.04000000004</v>
      </c>
      <c r="O31" s="40">
        <f>M31/$M$138</f>
        <v>0.20604058477538581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3750</v>
      </c>
      <c r="N32" s="30">
        <f t="shared" si="3"/>
        <v>4950</v>
      </c>
      <c r="O32" s="40">
        <f>M32/$M$138</f>
        <v>2.5995094469188733E-3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v>94500</v>
      </c>
      <c r="N33" s="30">
        <f t="shared" si="3"/>
        <v>186600</v>
      </c>
      <c r="O33" s="40">
        <f>M33/$M$138</f>
        <v>6.5507638062355614E-2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v>211742.58</v>
      </c>
      <c r="N34" s="30">
        <f t="shared" si="3"/>
        <v>325257.42000000004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v>3406.29</v>
      </c>
      <c r="N36" s="30">
        <f t="shared" si="3"/>
        <v>31104.510000000002</v>
      </c>
      <c r="O36" s="40">
        <f t="shared" si="5"/>
        <v>2.3612488090520773E-3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v>32077.9</v>
      </c>
      <c r="N37" s="30">
        <f t="shared" si="3"/>
        <v>55323.249999999993</v>
      </c>
      <c r="O37" s="40">
        <f t="shared" si="5"/>
        <v>2.2236481089951715E-2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v>3006.37</v>
      </c>
      <c r="N38" s="30">
        <f t="shared" si="3"/>
        <v>5184.47</v>
      </c>
      <c r="O38" s="40">
        <f t="shared" si="5"/>
        <v>2.0840232575822649E-3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/>
      <c r="N39" s="30">
        <f t="shared" si="3"/>
        <v>67581.009999999995</v>
      </c>
      <c r="O39" s="40">
        <f t="shared" si="5"/>
        <v>0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/>
      <c r="N40" s="30">
        <f t="shared" si="3"/>
        <v>67581.009999999995</v>
      </c>
      <c r="O40" s="40">
        <f t="shared" si="5"/>
        <v>0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/>
      <c r="N41" s="30">
        <f t="shared" si="3"/>
        <v>4400</v>
      </c>
      <c r="O41" s="40">
        <f t="shared" si="5"/>
        <v>0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3346.28</v>
      </c>
      <c r="N45" s="30">
        <f t="shared" si="3"/>
        <v>10403.719999999999</v>
      </c>
      <c r="O45" s="40">
        <f t="shared" ref="O45:O54" si="7">M45/$M$138</f>
        <v>2.3196497258761834E-3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7025.76</v>
      </c>
      <c r="N46" s="30">
        <f t="shared" si="3"/>
        <v>19074.239999999998</v>
      </c>
      <c r="O46" s="40">
        <f t="shared" si="7"/>
        <v>4.8702745311425986E-3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1.4141331391238671E-3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2064.75</v>
      </c>
      <c r="N49" s="30">
        <f t="shared" si="3"/>
        <v>12185.25</v>
      </c>
      <c r="O49" s="40">
        <f t="shared" si="7"/>
        <v>1.4312899014735318E-3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/>
      <c r="H50" s="30"/>
      <c r="I50" s="30"/>
      <c r="J50" s="46"/>
      <c r="K50" s="46"/>
      <c r="L50" s="30">
        <f t="shared" si="6"/>
        <v>1615190.72</v>
      </c>
      <c r="M50" s="30">
        <v>433939.33</v>
      </c>
      <c r="N50" s="30">
        <f t="shared" si="3"/>
        <v>1181251.3899999999</v>
      </c>
      <c r="O50" s="40">
        <f t="shared" si="7"/>
        <v>0.30080783672657241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/>
      <c r="G51" s="46"/>
      <c r="H51" s="30"/>
      <c r="I51" s="30"/>
      <c r="J51" s="46"/>
      <c r="K51" s="46"/>
      <c r="L51" s="30">
        <f t="shared" si="6"/>
        <v>361792.7</v>
      </c>
      <c r="M51" s="30">
        <v>132100.44</v>
      </c>
      <c r="N51" s="30">
        <f t="shared" si="3"/>
        <v>229692.26</v>
      </c>
      <c r="O51" s="40">
        <f t="shared" si="7"/>
        <v>9.1572357792570627E-2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v>74318.289999999994</v>
      </c>
      <c r="N52" s="30">
        <f t="shared" si="3"/>
        <v>557267.07999999996</v>
      </c>
      <c r="O52" s="40">
        <f t="shared" si="7"/>
        <v>5.151762584902838E-2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70750</v>
      </c>
      <c r="M53" s="30"/>
      <c r="N53" s="30">
        <f t="shared" si="3"/>
        <v>70750</v>
      </c>
      <c r="O53" s="40">
        <f t="shared" si="7"/>
        <v>0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42500</v>
      </c>
      <c r="M54" s="30"/>
      <c r="N54" s="30">
        <f t="shared" si="3"/>
        <v>42500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/>
      <c r="N55" s="30">
        <f t="shared" si="3"/>
        <v>90000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/>
      <c r="N56" s="30">
        <f t="shared" si="3"/>
        <v>4400</v>
      </c>
      <c r="O56" s="40">
        <f t="shared" ref="O56:O61" si="8">M56/$M$138</f>
        <v>0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v>565.6</v>
      </c>
      <c r="N59" s="30">
        <f t="shared" si="3"/>
        <v>6434.4</v>
      </c>
      <c r="O59" s="40">
        <f t="shared" si="8"/>
        <v>3.9207534484728395E-4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450</v>
      </c>
      <c r="N60" s="30">
        <f t="shared" si="3"/>
        <v>13550</v>
      </c>
      <c r="O60" s="40">
        <f t="shared" si="8"/>
        <v>3.1194113363026483E-4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/>
      <c r="H63" s="30"/>
      <c r="I63" s="30"/>
      <c r="J63" s="46"/>
      <c r="K63" s="46"/>
      <c r="L63" s="30">
        <f t="shared" si="6"/>
        <v>100000</v>
      </c>
      <c r="M63" s="30"/>
      <c r="N63" s="30">
        <f t="shared" si="3"/>
        <v>100000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9750</v>
      </c>
      <c r="M64" s="30"/>
      <c r="N64" s="30">
        <f t="shared" si="3"/>
        <v>9750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0</v>
      </c>
      <c r="M66" s="30"/>
      <c r="N66" s="30">
        <f t="shared" si="3"/>
        <v>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2.7728100767134651E-4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22500</v>
      </c>
      <c r="N68" s="30">
        <f t="shared" si="3"/>
        <v>31500</v>
      </c>
      <c r="O68" s="40">
        <f t="shared" si="9"/>
        <v>1.559705668151324E-2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v>850</v>
      </c>
      <c r="N69" s="30">
        <f t="shared" si="3"/>
        <v>6650</v>
      </c>
      <c r="O69" s="40">
        <f t="shared" si="9"/>
        <v>5.8922214130161129E-4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8000</v>
      </c>
      <c r="M71" s="30">
        <v>2300</v>
      </c>
      <c r="N71" s="30">
        <f t="shared" si="3"/>
        <v>5700</v>
      </c>
      <c r="O71" s="40">
        <f t="shared" si="9"/>
        <v>1.5943657941102423E-3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/>
      <c r="H73" s="30"/>
      <c r="I73" s="30"/>
      <c r="J73" s="46"/>
      <c r="K73" s="46"/>
      <c r="L73" s="30">
        <f t="shared" si="6"/>
        <v>144800</v>
      </c>
      <c r="M73" s="30"/>
      <c r="N73" s="30">
        <f t="shared" si="3"/>
        <v>144800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781.76</v>
      </c>
      <c r="N75" s="30">
        <f t="shared" si="3"/>
        <v>1718.24</v>
      </c>
      <c r="O75" s="40">
        <f t="shared" si="9"/>
        <v>5.4191800139287958E-4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108251.07</v>
      </c>
      <c r="M76" s="30">
        <v>40.200000000000003</v>
      </c>
      <c r="N76" s="30">
        <f t="shared" si="3"/>
        <v>108210.87000000001</v>
      </c>
      <c r="O76" s="40">
        <f t="shared" si="9"/>
        <v>2.7866741270970327E-5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/>
      <c r="G77" s="46"/>
      <c r="H77" s="30"/>
      <c r="I77" s="30"/>
      <c r="J77" s="46"/>
      <c r="K77" s="46"/>
      <c r="L77" s="30">
        <f t="shared" si="6"/>
        <v>2000</v>
      </c>
      <c r="M77" s="30"/>
      <c r="N77" s="30">
        <f t="shared" si="3"/>
        <v>2000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2.9686259243309697E-3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/>
      <c r="H79" s="30"/>
      <c r="I79" s="30"/>
      <c r="J79" s="46"/>
      <c r="K79" s="46"/>
      <c r="L79" s="30">
        <f t="shared" si="6"/>
        <v>76000</v>
      </c>
      <c r="M79" s="30">
        <v>2285.5</v>
      </c>
      <c r="N79" s="30">
        <f t="shared" si="3"/>
        <v>73714.5</v>
      </c>
      <c r="O79" s="40">
        <f t="shared" si="9"/>
        <v>1.584314357582156E-3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/>
      <c r="G83" s="46"/>
      <c r="H83" s="30"/>
      <c r="I83" s="30"/>
      <c r="J83" s="46"/>
      <c r="K83" s="46"/>
      <c r="L83" s="30">
        <f t="shared" ref="L83:L119" si="10">C83+D83-E83+F83-G83+H83-I83+J83-K83</f>
        <v>114414.1</v>
      </c>
      <c r="M83" s="30">
        <v>10639.95</v>
      </c>
      <c r="N83" s="30">
        <f t="shared" si="3"/>
        <v>103774.15000000001</v>
      </c>
      <c r="O83" s="40">
        <f t="shared" ref="O83:O119" si="11">M83/$M$138</f>
        <v>7.3756401439318588E-3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/>
      <c r="G87" s="46"/>
      <c r="H87" s="30"/>
      <c r="I87" s="30"/>
      <c r="J87" s="46"/>
      <c r="K87" s="46"/>
      <c r="L87" s="30">
        <f t="shared" si="10"/>
        <v>2750</v>
      </c>
      <c r="M87" s="30">
        <v>120</v>
      </c>
      <c r="N87" s="30">
        <f t="shared" si="3"/>
        <v>2630</v>
      </c>
      <c r="O87" s="40">
        <f t="shared" si="11"/>
        <v>8.3184302301403943E-5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/>
      <c r="G88" s="46"/>
      <c r="H88" s="30"/>
      <c r="I88" s="30"/>
      <c r="J88" s="46"/>
      <c r="K88" s="46"/>
      <c r="L88" s="30">
        <f t="shared" si="10"/>
        <v>16800</v>
      </c>
      <c r="M88" s="30">
        <v>2040</v>
      </c>
      <c r="N88" s="30">
        <f t="shared" si="3"/>
        <v>14760</v>
      </c>
      <c r="O88" s="40">
        <f t="shared" si="11"/>
        <v>1.4141331391238671E-3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780</v>
      </c>
      <c r="N89" s="30">
        <f t="shared" si="3"/>
        <v>4470</v>
      </c>
      <c r="O89" s="40">
        <f t="shared" si="11"/>
        <v>5.4069796495912566E-4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v>4394.74</v>
      </c>
      <c r="N90" s="30">
        <f t="shared" si="3"/>
        <v>1105.2600000000002</v>
      </c>
      <c r="O90" s="40">
        <f t="shared" si="11"/>
        <v>3.0464448391339331E-3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943.06</v>
      </c>
      <c r="N91" s="30">
        <f t="shared" si="3"/>
        <v>2106.94</v>
      </c>
      <c r="O91" s="40">
        <f t="shared" si="11"/>
        <v>6.5373156773635007E-4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6.9320251917836625E-6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/>
      <c r="N94" s="30">
        <f t="shared" si="3"/>
        <v>2700</v>
      </c>
      <c r="O94" s="40">
        <f t="shared" si="11"/>
        <v>0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/>
      <c r="N95" s="30">
        <f t="shared" si="3"/>
        <v>2800</v>
      </c>
      <c r="O95" s="40">
        <f t="shared" si="11"/>
        <v>0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1478.82</v>
      </c>
      <c r="N96" s="30">
        <f t="shared" si="3"/>
        <v>7021.18</v>
      </c>
      <c r="O96" s="40">
        <f t="shared" si="11"/>
        <v>1.0251217494113515E-3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471.93</v>
      </c>
      <c r="N97" s="30">
        <f t="shared" si="3"/>
        <v>5528.07</v>
      </c>
      <c r="O97" s="40">
        <f t="shared" si="11"/>
        <v>3.271430648758464E-4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2862.9</v>
      </c>
      <c r="N98" s="30">
        <f t="shared" si="3"/>
        <v>14637.1</v>
      </c>
      <c r="O98" s="40">
        <f t="shared" si="11"/>
        <v>1.9845694921557448E-3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738.06</v>
      </c>
      <c r="N99" s="30">
        <f t="shared" si="3"/>
        <v>2261.94</v>
      </c>
      <c r="O99" s="40">
        <f t="shared" si="11"/>
        <v>5.11625051304785E-4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1.3163915839197176E-4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/>
      <c r="H101" s="30"/>
      <c r="I101" s="30"/>
      <c r="J101" s="46"/>
      <c r="K101" s="46"/>
      <c r="L101" s="30">
        <f t="shared" si="10"/>
        <v>210345</v>
      </c>
      <c r="M101" s="30"/>
      <c r="N101" s="30">
        <f t="shared" si="12"/>
        <v>210345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v>158</v>
      </c>
      <c r="N104" s="30">
        <f t="shared" si="12"/>
        <v>1342</v>
      </c>
      <c r="O104" s="40">
        <f t="shared" si="11"/>
        <v>1.0952599803018186E-4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v>75</v>
      </c>
      <c r="N108" s="30">
        <f t="shared" si="12"/>
        <v>1725</v>
      </c>
      <c r="O108" s="40">
        <f t="shared" si="11"/>
        <v>5.1990188938377471E-5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10"/>
        <v>108800</v>
      </c>
      <c r="M109" s="30"/>
      <c r="N109" s="30">
        <f t="shared" si="12"/>
        <v>108800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10"/>
        <v>800821.67999999993</v>
      </c>
      <c r="M110" s="30">
        <v>11700</v>
      </c>
      <c r="N110" s="30">
        <f t="shared" si="12"/>
        <v>789121.67999999993</v>
      </c>
      <c r="O110" s="40">
        <f t="shared" si="11"/>
        <v>8.1104694743868843E-3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v>75</v>
      </c>
      <c r="N111" s="30">
        <f t="shared" si="12"/>
        <v>1425</v>
      </c>
      <c r="O111" s="40">
        <f t="shared" si="11"/>
        <v>5.1990188938377471E-5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823.3</v>
      </c>
      <c r="N113" s="30">
        <f t="shared" si="12"/>
        <v>5776.7</v>
      </c>
      <c r="O113" s="40">
        <f t="shared" si="11"/>
        <v>5.7071363403954887E-4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v>874.51</v>
      </c>
      <c r="N114" s="30">
        <f t="shared" si="12"/>
        <v>1125.49</v>
      </c>
      <c r="O114" s="40">
        <f t="shared" si="11"/>
        <v>6.0621253504667305E-4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10"/>
        <v>115251.9</v>
      </c>
      <c r="M115" s="30"/>
      <c r="N115" s="30">
        <f t="shared" si="12"/>
        <v>115251.9</v>
      </c>
      <c r="O115" s="40">
        <f t="shared" si="11"/>
        <v>0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4.3598972443723347E-4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/>
      <c r="N117" s="30">
        <f t="shared" si="12"/>
        <v>9500</v>
      </c>
      <c r="O117" s="40">
        <f t="shared" si="11"/>
        <v>0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/>
      <c r="H118" s="30"/>
      <c r="I118" s="30"/>
      <c r="J118" s="46"/>
      <c r="K118" s="46"/>
      <c r="L118" s="30">
        <f t="shared" si="10"/>
        <v>101000</v>
      </c>
      <c r="M118" s="30">
        <v>819.13</v>
      </c>
      <c r="N118" s="30">
        <f t="shared" si="12"/>
        <v>100180.87</v>
      </c>
      <c r="O118" s="40">
        <f t="shared" si="11"/>
        <v>5.6782297953457514E-4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v>1586.5</v>
      </c>
      <c r="N119" s="30">
        <f t="shared" si="12"/>
        <v>5913.5</v>
      </c>
      <c r="O119" s="40">
        <f t="shared" si="11"/>
        <v>1.099765796676478E-3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1.7219150576390618E-3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3"/>
        <v>30000</v>
      </c>
      <c r="M128" s="30">
        <v>9990</v>
      </c>
      <c r="N128" s="30">
        <f t="shared" si="12"/>
        <v>20010</v>
      </c>
      <c r="O128" s="40">
        <f>+M128/M138</f>
        <v>6.9250931665918785E-3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6.4162825175149577E-3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/>
      <c r="N134" s="30">
        <f t="shared" si="12"/>
        <v>185900</v>
      </c>
      <c r="O134" s="40">
        <f>M134/$M$138</f>
        <v>0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/>
      <c r="N135" s="30">
        <f t="shared" si="12"/>
        <v>7170</v>
      </c>
      <c r="O135" s="40">
        <f>M135/$M$138</f>
        <v>0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44436.59</v>
      </c>
      <c r="N136" s="30">
        <f t="shared" si="12"/>
        <v>119263.41</v>
      </c>
      <c r="O136" s="40">
        <f>M136/$M$138</f>
        <v>3.0803556131696195E-2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0</v>
      </c>
      <c r="G138" s="36">
        <f t="shared" si="14"/>
        <v>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1442579.8699999999</v>
      </c>
      <c r="N138" s="36">
        <f t="shared" si="14"/>
        <v>6387290.6699999999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6" t="s">
        <v>86</v>
      </c>
      <c r="B152" s="54"/>
      <c r="C152" s="74">
        <f>M26</f>
        <v>2288574.0300000003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87</v>
      </c>
      <c r="B153" s="54"/>
      <c r="C153" s="75">
        <f>-M138</f>
        <v>-1442579.8699999999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5.75" x14ac:dyDescent="0.25">
      <c r="A154" s="57" t="s">
        <v>88</v>
      </c>
      <c r="B154" s="58"/>
      <c r="C154" s="76">
        <f>SUM(C146:C153)</f>
        <v>2795423.4800000004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/>
      <c r="B155" s="58"/>
      <c r="C155" s="76"/>
      <c r="D155" s="4"/>
      <c r="E155" s="4"/>
      <c r="F155" s="4"/>
      <c r="G155" s="4"/>
      <c r="H155" s="4"/>
      <c r="I155" s="4"/>
      <c r="J155" s="71"/>
      <c r="K155" s="71"/>
      <c r="L155" s="4"/>
    </row>
    <row r="156" spans="1:12" x14ac:dyDescent="0.2">
      <c r="A156" s="53" t="s">
        <v>89</v>
      </c>
      <c r="B156" s="54"/>
      <c r="C156" s="74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ht="12" customHeight="1" x14ac:dyDescent="0.2">
      <c r="A157" s="56" t="s">
        <v>149</v>
      </c>
      <c r="B157" s="54"/>
      <c r="C157" s="74">
        <v>272</v>
      </c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249</v>
      </c>
      <c r="B158" s="54"/>
      <c r="C158" s="74">
        <v>0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x14ac:dyDescent="0.2">
      <c r="A159" s="56" t="s">
        <v>152</v>
      </c>
      <c r="B159" s="54"/>
      <c r="C159" s="74">
        <f>6534.16+2957.82+612.39</f>
        <v>10104.369999999999</v>
      </c>
      <c r="D159" s="85"/>
      <c r="E159" s="86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151</v>
      </c>
      <c r="B160" s="54"/>
      <c r="C160" s="74">
        <v>1911.44</v>
      </c>
      <c r="D160" s="87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150</v>
      </c>
      <c r="B161" s="54"/>
      <c r="C161" s="74">
        <v>18560.169999999998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237</v>
      </c>
      <c r="B162" s="54"/>
      <c r="C162" s="74">
        <f>990.15+990.15+990.15+990.15+990.15+990.15+990.15+990.15+990.15+990.15+990.15+990.15+990.15+990.15+255.46</f>
        <v>14117.559999999996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/>
      <c r="B163" s="54"/>
      <c r="C163" s="75"/>
      <c r="D163" s="88"/>
      <c r="E163" s="89"/>
      <c r="F163" s="4"/>
      <c r="G163" s="4"/>
      <c r="H163" s="4"/>
      <c r="I163" s="4"/>
      <c r="J163" s="71"/>
      <c r="K163" s="71"/>
      <c r="L163" s="4"/>
    </row>
    <row r="164" spans="1:13" ht="15.75" x14ac:dyDescent="0.25">
      <c r="A164" s="57"/>
      <c r="B164" s="58"/>
      <c r="C164" s="76">
        <f>SUM(C157:C163)</f>
        <v>44965.539999999994</v>
      </c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2.1" customHeight="1" x14ac:dyDescent="0.25">
      <c r="A165" s="57"/>
      <c r="B165" s="58"/>
      <c r="C165" s="77"/>
      <c r="D165" s="87"/>
      <c r="E165" s="86"/>
      <c r="F165" s="4"/>
      <c r="G165" s="4"/>
      <c r="H165" s="4"/>
      <c r="I165" s="4"/>
      <c r="J165" s="71"/>
      <c r="K165" s="71"/>
      <c r="L165" s="4"/>
    </row>
    <row r="166" spans="1:13" x14ac:dyDescent="0.2">
      <c r="A166" s="56"/>
      <c r="B166" s="54"/>
      <c r="C166" s="74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ht="2.1" customHeight="1" thickBot="1" x14ac:dyDescent="0.3">
      <c r="A167" s="59" t="s">
        <v>244</v>
      </c>
      <c r="B167" s="60"/>
      <c r="C167" s="73">
        <f>C154+C164</f>
        <v>2840389.0200000005</v>
      </c>
      <c r="D167" s="85"/>
      <c r="E167" s="86"/>
      <c r="F167" s="4"/>
      <c r="G167" s="4"/>
      <c r="H167" s="4"/>
      <c r="I167" s="4"/>
      <c r="J167" s="71"/>
      <c r="K167" s="71"/>
      <c r="L167" s="4"/>
    </row>
    <row r="168" spans="1:13" ht="9.9499999999999993" customHeight="1" x14ac:dyDescent="0.2">
      <c r="A168" s="56"/>
      <c r="B168" s="54"/>
      <c r="C168" s="74"/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16.5" thickBot="1" x14ac:dyDescent="0.3">
      <c r="A169" s="59" t="s">
        <v>267</v>
      </c>
      <c r="B169" s="60"/>
      <c r="C169" s="73">
        <f>C154+C164</f>
        <v>2840389.0200000005</v>
      </c>
      <c r="D169" s="85"/>
      <c r="E169" s="86"/>
      <c r="F169" s="4"/>
      <c r="G169" s="4"/>
      <c r="H169" s="4"/>
      <c r="I169" s="4"/>
      <c r="J169" s="71"/>
      <c r="K169" s="71"/>
      <c r="L169" s="4"/>
      <c r="M169" s="4"/>
    </row>
    <row r="170" spans="1:13" x14ac:dyDescent="0.2">
      <c r="A170" s="61"/>
      <c r="B170" s="61"/>
      <c r="C170" s="62"/>
      <c r="D170" s="4"/>
      <c r="E170" s="4"/>
      <c r="F170" s="4"/>
      <c r="G170" s="4"/>
      <c r="H170" s="4"/>
      <c r="I170" s="4"/>
      <c r="J170" s="71"/>
      <c r="K170" s="71"/>
      <c r="L170" s="4"/>
    </row>
    <row r="171" spans="1:13" x14ac:dyDescent="0.2">
      <c r="C171" s="62"/>
      <c r="D171" s="4"/>
    </row>
    <row r="172" spans="1:13" x14ac:dyDescent="0.2">
      <c r="C172" s="14"/>
      <c r="D172" s="4"/>
    </row>
    <row r="173" spans="1:13" x14ac:dyDescent="0.2">
      <c r="C173" s="14"/>
      <c r="D173" s="4"/>
    </row>
    <row r="174" spans="1:13" x14ac:dyDescent="0.2">
      <c r="C174" s="15"/>
      <c r="D174" s="4"/>
      <c r="I174" s="4"/>
      <c r="K174" s="71"/>
      <c r="L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D179" s="4"/>
    </row>
    <row r="180" spans="2:12" x14ac:dyDescent="0.2">
      <c r="D180" s="4"/>
    </row>
    <row r="181" spans="2:12" x14ac:dyDescent="0.2">
      <c r="B181" s="11" t="s">
        <v>242</v>
      </c>
      <c r="D181" s="13" t="s">
        <v>231</v>
      </c>
      <c r="I181" s="13" t="s">
        <v>240</v>
      </c>
      <c r="K181" s="79"/>
    </row>
    <row r="182" spans="2:12" x14ac:dyDescent="0.2">
      <c r="B182" s="11" t="s">
        <v>90</v>
      </c>
      <c r="D182" s="13" t="s">
        <v>91</v>
      </c>
      <c r="I182" s="11" t="s">
        <v>252</v>
      </c>
    </row>
    <row r="186" spans="2:12" x14ac:dyDescent="0.2">
      <c r="I186" s="4"/>
      <c r="K186" s="71"/>
      <c r="L186" s="4"/>
    </row>
    <row r="187" spans="2:12" x14ac:dyDescent="0.2">
      <c r="I187" s="4"/>
      <c r="K187" s="71"/>
      <c r="L187" s="4"/>
    </row>
    <row r="188" spans="2:12" x14ac:dyDescent="0.2">
      <c r="G188" s="63"/>
      <c r="I188" s="63"/>
      <c r="K188" s="72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L190" s="4"/>
    </row>
    <row r="191" spans="2:12" x14ac:dyDescent="0.2">
      <c r="G191" s="63"/>
    </row>
    <row r="192" spans="2:12" x14ac:dyDescent="0.2">
      <c r="G192" s="63"/>
    </row>
    <row r="193" spans="7:12" x14ac:dyDescent="0.2">
      <c r="G193" s="63"/>
      <c r="L193" s="4"/>
    </row>
    <row r="194" spans="7:12" x14ac:dyDescent="0.2">
      <c r="G194" s="63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  <ignoredErrors>
    <ignoredError sqref="A45:A58 A59:A74 A75:A79 A83:A100 A101:A119 A124:A129 A134:A13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268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00" t="s">
        <v>13</v>
      </c>
      <c r="J7" s="66" t="s">
        <v>12</v>
      </c>
      <c r="K7" s="101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22200+2000</f>
        <v>24200</v>
      </c>
      <c r="N10" s="30">
        <f t="shared" ref="N10:N22" si="1">L10-M10</f>
        <v>8800</v>
      </c>
      <c r="O10" s="29">
        <f>M10/$M$26</f>
        <v>7.8290443154189187E-3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/>
      <c r="J12" s="46"/>
      <c r="K12" s="46"/>
      <c r="L12" s="30">
        <f t="shared" si="0"/>
        <v>250000</v>
      </c>
      <c r="M12" s="30">
        <f>240+2380</f>
        <v>2620</v>
      </c>
      <c r="N12" s="30">
        <f t="shared" si="1"/>
        <v>247380</v>
      </c>
      <c r="O12" s="29">
        <f>M12/$M$26</f>
        <v>8.476072771238665E-4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2030.59+637.13</f>
        <v>2667.72</v>
      </c>
      <c r="N15" s="30">
        <f t="shared" si="1"/>
        <v>632.2800000000002</v>
      </c>
      <c r="O15" s="29">
        <f>M15/$M$26</f>
        <v>8.6304537607972552E-4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0"/>
        <v>3103145.92</v>
      </c>
      <c r="M18" s="30">
        <f>1148712.35+247708.11</f>
        <v>1396420.46</v>
      </c>
      <c r="N18" s="30">
        <f t="shared" si="1"/>
        <v>1706725.46</v>
      </c>
      <c r="O18" s="29">
        <f>M18/$M$26</f>
        <v>0.45176188695444924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f>1068728.91+549754.89</f>
        <v>1618483.7999999998</v>
      </c>
      <c r="N20" s="30">
        <f t="shared" si="1"/>
        <v>1575424.4100000001</v>
      </c>
      <c r="O20" s="29">
        <f>M20/$M$26</f>
        <v>0.52360253694163672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v>46662.18</v>
      </c>
      <c r="N22" s="30">
        <f t="shared" si="1"/>
        <v>192839.72</v>
      </c>
      <c r="O22" s="29">
        <f>M22/$M$26</f>
        <v>1.5095879135291503E-2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3091054.1599999997</v>
      </c>
      <c r="N26" s="36">
        <f t="shared" si="2"/>
        <v>4738816.3800000008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356676</v>
      </c>
      <c r="N31" s="30">
        <f t="shared" ref="N31:N99" si="3">L31-M31</f>
        <v>427896.04000000004</v>
      </c>
      <c r="O31" s="40">
        <f>M31/$M$138</f>
        <v>0.18732786617081615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v>4500</v>
      </c>
      <c r="N32" s="30">
        <f t="shared" si="3"/>
        <v>4200</v>
      </c>
      <c r="O32" s="40">
        <f>M32/$M$138</f>
        <v>2.3634205771307089E-3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v>113400</v>
      </c>
      <c r="N33" s="30">
        <f t="shared" si="3"/>
        <v>167700</v>
      </c>
      <c r="O33" s="40">
        <f>M33/$M$138</f>
        <v>5.955819854369386E-2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v>282323.44</v>
      </c>
      <c r="N34" s="30">
        <f t="shared" si="3"/>
        <v>254676.56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v>3406.29</v>
      </c>
      <c r="N36" s="30">
        <f t="shared" si="3"/>
        <v>31104.510000000002</v>
      </c>
      <c r="O36" s="40">
        <f t="shared" si="5"/>
        <v>1.7889990839276804E-3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v>38420.79</v>
      </c>
      <c r="N37" s="30">
        <f t="shared" si="3"/>
        <v>48980.359999999993</v>
      </c>
      <c r="O37" s="40">
        <f t="shared" si="5"/>
        <v>2.0178774594581728E-2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v>3600.83</v>
      </c>
      <c r="N38" s="30">
        <f t="shared" si="3"/>
        <v>4590.01</v>
      </c>
      <c r="O38" s="40">
        <f t="shared" si="5"/>
        <v>1.8911723814999044E-3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/>
      <c r="N39" s="30">
        <f t="shared" si="3"/>
        <v>67581.009999999995</v>
      </c>
      <c r="O39" s="40">
        <f t="shared" si="5"/>
        <v>0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/>
      <c r="N40" s="30">
        <f t="shared" si="3"/>
        <v>67581.009999999995</v>
      </c>
      <c r="O40" s="40">
        <f t="shared" si="5"/>
        <v>0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/>
      <c r="N41" s="30">
        <f t="shared" si="3"/>
        <v>4400</v>
      </c>
      <c r="O41" s="40">
        <f t="shared" si="5"/>
        <v>0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v>4378.17</v>
      </c>
      <c r="N45" s="30">
        <f t="shared" si="3"/>
        <v>9371.83</v>
      </c>
      <c r="O45" s="40">
        <f t="shared" ref="O45:O54" si="7">M45/$M$138</f>
        <v>2.2994349040391902E-3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v>7613.76</v>
      </c>
      <c r="N46" s="30">
        <f t="shared" si="3"/>
        <v>18486.239999999998</v>
      </c>
      <c r="O46" s="40">
        <f t="shared" si="7"/>
        <v>3.9987815674077127E-3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1.0714173282992546E-3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v>2108.75</v>
      </c>
      <c r="N49" s="30">
        <f t="shared" si="3"/>
        <v>12141.25</v>
      </c>
      <c r="O49" s="40">
        <f t="shared" si="7"/>
        <v>1.1075251426720849E-3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/>
      <c r="J50" s="46"/>
      <c r="K50" s="46"/>
      <c r="L50" s="30">
        <f t="shared" si="6"/>
        <v>1554520.72</v>
      </c>
      <c r="M50" s="30">
        <v>482817.23</v>
      </c>
      <c r="N50" s="30">
        <f t="shared" si="3"/>
        <v>1071703.49</v>
      </c>
      <c r="O50" s="40">
        <f t="shared" si="7"/>
        <v>0.25357781697227783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/>
      <c r="J51" s="46"/>
      <c r="K51" s="46"/>
      <c r="L51" s="30">
        <f t="shared" si="6"/>
        <v>979342.7</v>
      </c>
      <c r="M51" s="30">
        <v>289239.2</v>
      </c>
      <c r="N51" s="30">
        <f t="shared" si="3"/>
        <v>690103.5</v>
      </c>
      <c r="O51" s="40">
        <f t="shared" si="7"/>
        <v>0.15190975044284991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v>94679.24</v>
      </c>
      <c r="N52" s="30">
        <f t="shared" si="3"/>
        <v>536906.13</v>
      </c>
      <c r="O52" s="40">
        <f t="shared" si="7"/>
        <v>4.9725969787354864E-2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/>
      <c r="I53" s="30"/>
      <c r="J53" s="46"/>
      <c r="K53" s="46"/>
      <c r="L53" s="30">
        <f t="shared" si="6"/>
        <v>20750</v>
      </c>
      <c r="M53" s="30"/>
      <c r="N53" s="30">
        <f t="shared" si="3"/>
        <v>20750</v>
      </c>
      <c r="O53" s="40">
        <f t="shared" si="7"/>
        <v>0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/>
      <c r="I54" s="30"/>
      <c r="J54" s="46"/>
      <c r="K54" s="46"/>
      <c r="L54" s="30">
        <f t="shared" si="6"/>
        <v>7500</v>
      </c>
      <c r="M54" s="30"/>
      <c r="N54" s="30">
        <f t="shared" si="3"/>
        <v>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v>12857.14</v>
      </c>
      <c r="N55" s="30">
        <f t="shared" si="3"/>
        <v>77142.86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1.1029296026609974E-3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v>565.6</v>
      </c>
      <c r="N59" s="30">
        <f t="shared" si="3"/>
        <v>6434.4</v>
      </c>
      <c r="O59" s="40">
        <f t="shared" si="8"/>
        <v>2.970557063166953E-4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1.1186857398418689E-3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/>
      <c r="I63" s="30"/>
      <c r="J63" s="46"/>
      <c r="K63" s="46"/>
      <c r="L63" s="30">
        <f t="shared" si="6"/>
        <v>40000</v>
      </c>
      <c r="M63" s="30"/>
      <c r="N63" s="30">
        <f t="shared" si="3"/>
        <v>40000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/>
      <c r="I64" s="30"/>
      <c r="J64" s="46"/>
      <c r="K64" s="46"/>
      <c r="L64" s="30">
        <f t="shared" si="6"/>
        <v>25750</v>
      </c>
      <c r="M64" s="30"/>
      <c r="N64" s="30">
        <f t="shared" si="3"/>
        <v>25750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2.1008182907828523E-4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v>27000</v>
      </c>
      <c r="N68" s="30">
        <f t="shared" si="3"/>
        <v>27000</v>
      </c>
      <c r="O68" s="40">
        <f t="shared" si="9"/>
        <v>1.4180523462784252E-2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v>1450</v>
      </c>
      <c r="N69" s="30">
        <f t="shared" si="3"/>
        <v>6050</v>
      </c>
      <c r="O69" s="40">
        <f t="shared" si="9"/>
        <v>7.6154663040878397E-4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v>3300</v>
      </c>
      <c r="N71" s="30">
        <f t="shared" si="3"/>
        <v>17200</v>
      </c>
      <c r="O71" s="40">
        <f t="shared" si="9"/>
        <v>1.7331750898958531E-3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v>832.11</v>
      </c>
      <c r="N75" s="30">
        <f t="shared" si="3"/>
        <v>1667.8899999999999</v>
      </c>
      <c r="O75" s="40">
        <f t="shared" si="9"/>
        <v>4.3702797698582979E-4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/>
      <c r="I76" s="30"/>
      <c r="J76" s="46"/>
      <c r="K76" s="46"/>
      <c r="L76" s="30">
        <f t="shared" si="6"/>
        <v>18251.070000000007</v>
      </c>
      <c r="M76" s="30">
        <v>335.5</v>
      </c>
      <c r="N76" s="30">
        <f t="shared" si="3"/>
        <v>17915.570000000007</v>
      </c>
      <c r="O76" s="40">
        <f t="shared" si="9"/>
        <v>1.7620613413941172E-4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/>
      <c r="N77" s="30">
        <f t="shared" si="3"/>
        <v>50000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2.2491780784779369E-3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/>
      <c r="I79" s="30"/>
      <c r="J79" s="46"/>
      <c r="K79" s="46"/>
      <c r="L79" s="30">
        <f t="shared" si="6"/>
        <v>26000</v>
      </c>
      <c r="M79" s="30">
        <v>3360.5</v>
      </c>
      <c r="N79" s="30">
        <f t="shared" si="3"/>
        <v>22639.5</v>
      </c>
      <c r="O79" s="40">
        <f t="shared" si="9"/>
        <v>1.7649499665439437E-3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v>12106.7</v>
      </c>
      <c r="N83" s="30">
        <f t="shared" si="3"/>
        <v>134677.4</v>
      </c>
      <c r="O83" s="40">
        <f t="shared" ref="O83:O119" si="11">M83/$M$138</f>
        <v>6.3584942002551893E-3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v>120</v>
      </c>
      <c r="N87" s="30">
        <f t="shared" si="3"/>
        <v>4880</v>
      </c>
      <c r="O87" s="40">
        <f t="shared" si="11"/>
        <v>6.3024548723485566E-5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v>2040</v>
      </c>
      <c r="N88" s="30">
        <f t="shared" si="3"/>
        <v>31760</v>
      </c>
      <c r="O88" s="40">
        <f t="shared" si="11"/>
        <v>1.0714173282992546E-3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1040</v>
      </c>
      <c r="N89" s="30">
        <f t="shared" si="3"/>
        <v>4210</v>
      </c>
      <c r="O89" s="40">
        <f t="shared" si="11"/>
        <v>5.4621275560354156E-4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v>4623.57</v>
      </c>
      <c r="N90" s="30">
        <f t="shared" si="3"/>
        <v>876.43000000000029</v>
      </c>
      <c r="O90" s="40">
        <f t="shared" si="11"/>
        <v>2.428320106178718E-3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943.06</v>
      </c>
      <c r="N91" s="30">
        <f t="shared" si="3"/>
        <v>2106.94</v>
      </c>
      <c r="O91" s="40">
        <f t="shared" si="11"/>
        <v>4.952994243264191E-4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5.2520457269571302E-6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/>
      <c r="N94" s="30">
        <f t="shared" si="3"/>
        <v>2700</v>
      </c>
      <c r="O94" s="40">
        <f t="shared" si="11"/>
        <v>0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/>
      <c r="N95" s="30">
        <f t="shared" si="3"/>
        <v>2800</v>
      </c>
      <c r="O95" s="40">
        <f t="shared" si="11"/>
        <v>0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v>2322.8200000000002</v>
      </c>
      <c r="N96" s="30">
        <f t="shared" si="3"/>
        <v>6177.18</v>
      </c>
      <c r="O96" s="40">
        <f t="shared" si="11"/>
        <v>1.2199556855490563E-3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v>471.93</v>
      </c>
      <c r="N97" s="30">
        <f t="shared" si="3"/>
        <v>5528.07</v>
      </c>
      <c r="O97" s="40">
        <f t="shared" si="11"/>
        <v>2.4785979399228789E-4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2862.9</v>
      </c>
      <c r="N98" s="30">
        <f t="shared" si="3"/>
        <v>14637.1</v>
      </c>
      <c r="O98" s="40">
        <f t="shared" si="11"/>
        <v>1.5036081711705569E-3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750.06</v>
      </c>
      <c r="N99" s="30">
        <f t="shared" si="3"/>
        <v>2249.94</v>
      </c>
      <c r="O99" s="40">
        <f t="shared" si="11"/>
        <v>3.9393494179614652E-4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9.9736348354915913E-5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/>
      <c r="I101" s="30"/>
      <c r="J101" s="46"/>
      <c r="K101" s="46"/>
      <c r="L101" s="30">
        <f t="shared" si="10"/>
        <v>50345</v>
      </c>
      <c r="M101" s="30"/>
      <c r="N101" s="30">
        <f t="shared" si="12"/>
        <v>50345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v>158</v>
      </c>
      <c r="N104" s="30">
        <f t="shared" si="12"/>
        <v>1342</v>
      </c>
      <c r="O104" s="40">
        <f t="shared" si="11"/>
        <v>8.2982322485922663E-5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v>683</v>
      </c>
      <c r="N108" s="30">
        <f t="shared" si="12"/>
        <v>1117</v>
      </c>
      <c r="O108" s="40">
        <f t="shared" si="11"/>
        <v>3.5871472315117202E-4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v>11700</v>
      </c>
      <c r="N110" s="30">
        <f t="shared" si="12"/>
        <v>854121.67999999993</v>
      </c>
      <c r="O110" s="40">
        <f t="shared" si="11"/>
        <v>6.1448935005398424E-3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v>75</v>
      </c>
      <c r="N111" s="30">
        <f t="shared" si="12"/>
        <v>1425</v>
      </c>
      <c r="O111" s="40">
        <f t="shared" si="11"/>
        <v>3.9390342952178477E-5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v>823.3</v>
      </c>
      <c r="N113" s="30">
        <f t="shared" si="12"/>
        <v>5776.7</v>
      </c>
      <c r="O113" s="40">
        <f t="shared" si="11"/>
        <v>4.3240092470038055E-4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v>874.51</v>
      </c>
      <c r="N114" s="30">
        <f t="shared" si="12"/>
        <v>1125.49</v>
      </c>
      <c r="O114" s="40">
        <f t="shared" si="11"/>
        <v>4.5929665086812805E-4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/>
      <c r="N115" s="30">
        <f t="shared" si="12"/>
        <v>25251.899999999994</v>
      </c>
      <c r="O115" s="40">
        <f t="shared" si="11"/>
        <v>0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3.3032741599696875E-4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v>104</v>
      </c>
      <c r="N117" s="30">
        <f t="shared" si="12"/>
        <v>9396</v>
      </c>
      <c r="O117" s="40">
        <f t="shared" si="11"/>
        <v>5.4621275560354162E-5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/>
      <c r="I118" s="30"/>
      <c r="J118" s="46"/>
      <c r="K118" s="46"/>
      <c r="L118" s="30">
        <f t="shared" si="10"/>
        <v>76000</v>
      </c>
      <c r="M118" s="30">
        <v>819.13</v>
      </c>
      <c r="N118" s="30">
        <f t="shared" si="12"/>
        <v>75180.87</v>
      </c>
      <c r="O118" s="40">
        <f t="shared" si="11"/>
        <v>4.3021082163223945E-4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v>2520.4</v>
      </c>
      <c r="N119" s="30">
        <f t="shared" si="12"/>
        <v>4979.6000000000004</v>
      </c>
      <c r="O119" s="40">
        <f t="shared" si="11"/>
        <v>1.3237256050222753E-3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1.3046081585761512E-3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v>9990</v>
      </c>
      <c r="N128" s="30">
        <f t="shared" si="12"/>
        <v>30010</v>
      </c>
      <c r="O128" s="40">
        <f>+M128/M138</f>
        <v>5.2467936812301734E-3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4.8612935248715204E-3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/>
      <c r="N134" s="30">
        <f t="shared" si="12"/>
        <v>185900</v>
      </c>
      <c r="O134" s="40">
        <f>M134/$M$138</f>
        <v>0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/>
      <c r="N135" s="30">
        <f t="shared" si="12"/>
        <v>7170</v>
      </c>
      <c r="O135" s="40">
        <f>M135/$M$138</f>
        <v>0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v>92605.72</v>
      </c>
      <c r="N136" s="30">
        <f t="shared" si="12"/>
        <v>71094.28</v>
      </c>
      <c r="O136" s="40">
        <f>M136/$M$138</f>
        <v>4.8636947601778849E-2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1904019.9799999997</v>
      </c>
      <c r="N138" s="36">
        <f t="shared" si="14"/>
        <v>5925850.5599999996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56" t="s">
        <v>86</v>
      </c>
      <c r="B152" s="54"/>
      <c r="C152" s="74">
        <f>M26</f>
        <v>3091054.1599999997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87</v>
      </c>
      <c r="B153" s="54"/>
      <c r="C153" s="75">
        <f>-M138</f>
        <v>-1904019.9799999997</v>
      </c>
      <c r="D153" s="4"/>
      <c r="E153" s="4"/>
      <c r="F153" s="4"/>
      <c r="G153" s="4"/>
      <c r="H153" s="4"/>
      <c r="I153" s="4"/>
      <c r="J153" s="71"/>
      <c r="K153" s="71"/>
      <c r="L153" s="4"/>
    </row>
    <row r="154" spans="1:12" ht="15.75" x14ac:dyDescent="0.25">
      <c r="A154" s="57" t="s">
        <v>88</v>
      </c>
      <c r="B154" s="58"/>
      <c r="C154" s="76">
        <f>SUM(C146:C153)</f>
        <v>3136463.5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/>
      <c r="B155" s="58"/>
      <c r="C155" s="76"/>
      <c r="D155" s="4"/>
      <c r="E155" s="4"/>
      <c r="F155" s="4"/>
      <c r="G155" s="4"/>
      <c r="H155" s="4"/>
      <c r="I155" s="4"/>
      <c r="J155" s="71"/>
      <c r="K155" s="71"/>
      <c r="L155" s="4"/>
    </row>
    <row r="156" spans="1:12" x14ac:dyDescent="0.2">
      <c r="A156" s="53" t="s">
        <v>89</v>
      </c>
      <c r="B156" s="54"/>
      <c r="C156" s="74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ht="12" customHeight="1" x14ac:dyDescent="0.2">
      <c r="A157" s="56" t="s">
        <v>149</v>
      </c>
      <c r="B157" s="54"/>
      <c r="C157" s="74">
        <v>272</v>
      </c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249</v>
      </c>
      <c r="B158" s="54"/>
      <c r="C158" s="74">
        <v>0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x14ac:dyDescent="0.2">
      <c r="A159" s="56" t="s">
        <v>152</v>
      </c>
      <c r="B159" s="54"/>
      <c r="C159" s="74">
        <f>6342.89+2871.25+594.46</f>
        <v>9808.5999999999985</v>
      </c>
      <c r="D159" s="85"/>
      <c r="E159" s="86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151</v>
      </c>
      <c r="B160" s="54"/>
      <c r="C160" s="74">
        <v>1923.61</v>
      </c>
      <c r="D160" s="87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150</v>
      </c>
      <c r="B161" s="54"/>
      <c r="C161" s="74">
        <v>6109.26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237</v>
      </c>
      <c r="B162" s="54"/>
      <c r="C162" s="74">
        <f>990.15+990.15+990.15+990.15+990.15+990.15+990.15+990.15+990.15+990.15+990.15+990.15+990.15+990.15+255.46</f>
        <v>14117.559999999996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/>
      <c r="B163" s="54"/>
      <c r="C163" s="75"/>
      <c r="D163" s="88"/>
      <c r="E163" s="89"/>
      <c r="F163" s="4"/>
      <c r="G163" s="4"/>
      <c r="H163" s="4"/>
      <c r="I163" s="4"/>
      <c r="J163" s="71"/>
      <c r="K163" s="71"/>
      <c r="L163" s="4"/>
    </row>
    <row r="164" spans="1:13" ht="15.75" x14ac:dyDescent="0.25">
      <c r="A164" s="57"/>
      <c r="B164" s="58"/>
      <c r="C164" s="76">
        <f>SUM(C157:C163)</f>
        <v>32231.03</v>
      </c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2.1" customHeight="1" x14ac:dyDescent="0.25">
      <c r="A165" s="57"/>
      <c r="B165" s="58"/>
      <c r="C165" s="77"/>
      <c r="D165" s="87"/>
      <c r="E165" s="86"/>
      <c r="F165" s="4"/>
      <c r="G165" s="4"/>
      <c r="H165" s="4"/>
      <c r="I165" s="4"/>
      <c r="J165" s="71"/>
      <c r="K165" s="71"/>
      <c r="L165" s="4"/>
    </row>
    <row r="166" spans="1:13" x14ac:dyDescent="0.2">
      <c r="A166" s="56"/>
      <c r="B166" s="54"/>
      <c r="C166" s="74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ht="2.1" customHeight="1" thickBot="1" x14ac:dyDescent="0.3">
      <c r="A167" s="59" t="s">
        <v>244</v>
      </c>
      <c r="B167" s="60"/>
      <c r="C167" s="73">
        <f>C154+C164</f>
        <v>3168694.53</v>
      </c>
      <c r="D167" s="85"/>
      <c r="E167" s="86"/>
      <c r="F167" s="4"/>
      <c r="G167" s="4"/>
      <c r="H167" s="4"/>
      <c r="I167" s="4"/>
      <c r="J167" s="71"/>
      <c r="K167" s="71"/>
      <c r="L167" s="4"/>
    </row>
    <row r="168" spans="1:13" ht="9.9499999999999993" customHeight="1" x14ac:dyDescent="0.2">
      <c r="A168" s="56"/>
      <c r="B168" s="54"/>
      <c r="C168" s="74"/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16.5" thickBot="1" x14ac:dyDescent="0.3">
      <c r="A169" s="59" t="s">
        <v>269</v>
      </c>
      <c r="B169" s="60"/>
      <c r="C169" s="73">
        <f>C154+C164</f>
        <v>3168694.53</v>
      </c>
      <c r="D169" s="85"/>
      <c r="E169" s="86"/>
      <c r="F169" s="4"/>
      <c r="G169" s="4"/>
      <c r="H169" s="4"/>
      <c r="I169" s="4"/>
      <c r="J169" s="71"/>
      <c r="K169" s="71"/>
      <c r="L169" s="4"/>
      <c r="M169" s="4"/>
    </row>
    <row r="170" spans="1:13" x14ac:dyDescent="0.2">
      <c r="A170" s="61"/>
      <c r="B170" s="61"/>
      <c r="C170" s="62"/>
      <c r="D170" s="4"/>
      <c r="E170" s="4"/>
      <c r="F170" s="4"/>
      <c r="G170" s="4"/>
      <c r="H170" s="4"/>
      <c r="I170" s="4"/>
      <c r="J170" s="71"/>
      <c r="K170" s="71"/>
      <c r="L170" s="4"/>
    </row>
    <row r="171" spans="1:13" x14ac:dyDescent="0.2">
      <c r="C171" s="62"/>
      <c r="D171" s="4"/>
    </row>
    <row r="172" spans="1:13" x14ac:dyDescent="0.2">
      <c r="C172" s="14"/>
      <c r="D172" s="4"/>
    </row>
    <row r="173" spans="1:13" x14ac:dyDescent="0.2">
      <c r="C173" s="14"/>
      <c r="D173" s="4"/>
    </row>
    <row r="174" spans="1:13" x14ac:dyDescent="0.2">
      <c r="C174" s="15"/>
      <c r="D174" s="4"/>
      <c r="I174" s="4"/>
      <c r="K174" s="71"/>
      <c r="L174" s="4"/>
    </row>
    <row r="175" spans="1:13" x14ac:dyDescent="0.2">
      <c r="C175" s="15"/>
      <c r="D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D179" s="4"/>
    </row>
    <row r="180" spans="2:12" x14ac:dyDescent="0.2">
      <c r="D180" s="4"/>
    </row>
    <row r="181" spans="2:12" x14ac:dyDescent="0.2">
      <c r="B181" s="11" t="s">
        <v>242</v>
      </c>
      <c r="D181" s="13" t="s">
        <v>231</v>
      </c>
      <c r="I181" s="13" t="s">
        <v>240</v>
      </c>
      <c r="K181" s="79"/>
    </row>
    <row r="182" spans="2:12" x14ac:dyDescent="0.2">
      <c r="B182" s="11" t="s">
        <v>90</v>
      </c>
      <c r="D182" s="13" t="s">
        <v>91</v>
      </c>
      <c r="I182" s="11" t="s">
        <v>252</v>
      </c>
    </row>
    <row r="186" spans="2:12" x14ac:dyDescent="0.2">
      <c r="I186" s="4"/>
      <c r="K186" s="71"/>
      <c r="L186" s="4"/>
    </row>
    <row r="187" spans="2:12" x14ac:dyDescent="0.2">
      <c r="I187" s="4"/>
      <c r="K187" s="71"/>
      <c r="L187" s="4"/>
    </row>
    <row r="188" spans="2:12" x14ac:dyDescent="0.2">
      <c r="G188" s="63"/>
      <c r="I188" s="63"/>
      <c r="K188" s="72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L190" s="4"/>
    </row>
    <row r="191" spans="2:12" x14ac:dyDescent="0.2">
      <c r="G191" s="63"/>
    </row>
    <row r="192" spans="2:12" x14ac:dyDescent="0.2">
      <c r="G192" s="63"/>
    </row>
    <row r="193" spans="7:12" x14ac:dyDescent="0.2">
      <c r="G193" s="63"/>
      <c r="L193" s="4"/>
    </row>
    <row r="194" spans="7:12" x14ac:dyDescent="0.2">
      <c r="G194" s="63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A147" zoomScaleNormal="100" workbookViewId="0">
      <selection activeCell="M10" sqref="M1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270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02" t="s">
        <v>13</v>
      </c>
      <c r="J7" s="66" t="s">
        <v>12</v>
      </c>
      <c r="K7" s="103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22200+2000+2400</f>
        <v>26600</v>
      </c>
      <c r="N10" s="30">
        <f t="shared" ref="N10:N22" si="1">L10-M10</f>
        <v>6400</v>
      </c>
      <c r="O10" s="29">
        <f>M10/$M$26</f>
        <v>7.6394725215339007E-3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/>
      <c r="J12" s="46"/>
      <c r="K12" s="46"/>
      <c r="L12" s="30">
        <f t="shared" si="0"/>
        <v>250000</v>
      </c>
      <c r="M12" s="30">
        <f>240+2380+4940</f>
        <v>7560</v>
      </c>
      <c r="N12" s="30">
        <f t="shared" si="1"/>
        <v>242440</v>
      </c>
      <c r="O12" s="29">
        <f>M12/$M$26</f>
        <v>2.1712185061201613E-3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2030.59+637.13+936.06</f>
        <v>3603.7799999999997</v>
      </c>
      <c r="N15" s="30">
        <f t="shared" si="1"/>
        <v>-303.77999999999975</v>
      </c>
      <c r="O15" s="29">
        <f>M15/$M$26</f>
        <v>1.0349991835959939E-3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0"/>
        <v>3103145.92</v>
      </c>
      <c r="M18" s="30">
        <f>1148712.35+247708.11+272206.72</f>
        <v>1668627.18</v>
      </c>
      <c r="N18" s="30">
        <f t="shared" si="1"/>
        <v>1434518.74</v>
      </c>
      <c r="O18" s="29">
        <f>M18/$M$26</f>
        <v>0.47922674775543611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f>1068728.91+549754.89+63716.67</f>
        <v>1682200.4699999997</v>
      </c>
      <c r="N20" s="30">
        <f t="shared" si="1"/>
        <v>1511707.7400000002</v>
      </c>
      <c r="O20" s="29">
        <f>M20/$M$26</f>
        <v>0.4831249724164064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f>46662.18+46662.18</f>
        <v>93324.36</v>
      </c>
      <c r="N22" s="30">
        <f t="shared" si="1"/>
        <v>146177.53999999998</v>
      </c>
      <c r="O22" s="29">
        <f>M22/$M$26</f>
        <v>2.6802589616907426E-2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3481915.7899999996</v>
      </c>
      <c r="N26" s="36">
        <f t="shared" si="2"/>
        <v>4347954.75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f>356676+60670.6</f>
        <v>417346.6</v>
      </c>
      <c r="N31" s="30">
        <f t="shared" ref="N31:N99" si="3">L31-M31</f>
        <v>367225.44000000006</v>
      </c>
      <c r="O31" s="40">
        <f>M31/$M$138</f>
        <v>0.13195424494573108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f>4500+750</f>
        <v>5250</v>
      </c>
      <c r="N32" s="30">
        <f t="shared" si="3"/>
        <v>3450</v>
      </c>
      <c r="O32" s="40">
        <f>M32/$M$138</f>
        <v>1.6599147709963089E-3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f>113400+19571.23</f>
        <v>132971.23000000001</v>
      </c>
      <c r="N33" s="30">
        <f t="shared" si="3"/>
        <v>148128.76999999999</v>
      </c>
      <c r="O33" s="40">
        <f>M33/$M$138</f>
        <v>4.2042077865628101E-2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f>282323.44+70580.86</f>
        <v>352904.3</v>
      </c>
      <c r="N34" s="30">
        <f t="shared" si="3"/>
        <v>184095.7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f>3406.29+1370.66</f>
        <v>4776.95</v>
      </c>
      <c r="N36" s="30">
        <f t="shared" si="3"/>
        <v>29733.850000000002</v>
      </c>
      <c r="O36" s="40">
        <f t="shared" si="5"/>
        <v>1.510348545773489E-3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f>38420.79+6619.8</f>
        <v>45040.590000000004</v>
      </c>
      <c r="N37" s="30">
        <f t="shared" si="3"/>
        <v>42360.55999999999</v>
      </c>
      <c r="O37" s="40">
        <f t="shared" si="5"/>
        <v>1.4240674406740695E-2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f>3600.83+620.41</f>
        <v>4221.24</v>
      </c>
      <c r="N38" s="30">
        <f t="shared" si="3"/>
        <v>3969.6000000000004</v>
      </c>
      <c r="O38" s="40">
        <f t="shared" si="5"/>
        <v>1.3346473576991351E-3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/>
      <c r="N39" s="30">
        <f t="shared" si="3"/>
        <v>67581.009999999995</v>
      </c>
      <c r="O39" s="40">
        <f t="shared" si="5"/>
        <v>0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>
        <v>60946</v>
      </c>
      <c r="N40" s="30">
        <f t="shared" si="3"/>
        <v>6635.0099999999948</v>
      </c>
      <c r="O40" s="40">
        <f t="shared" si="5"/>
        <v>1.9269555358693534E-2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/>
      <c r="N41" s="30">
        <f t="shared" si="3"/>
        <v>4400</v>
      </c>
      <c r="O41" s="40">
        <f t="shared" si="5"/>
        <v>0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f>4378.17+1159.04</f>
        <v>5537.21</v>
      </c>
      <c r="N45" s="30">
        <f t="shared" si="3"/>
        <v>8212.7900000000009</v>
      </c>
      <c r="O45" s="40">
        <f t="shared" ref="O45:O54" si="7">M45/$M$138</f>
        <v>1.7507231750682804E-3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f>7613.76+588.84</f>
        <v>8202.6</v>
      </c>
      <c r="N46" s="30">
        <f t="shared" si="3"/>
        <v>17897.400000000001</v>
      </c>
      <c r="O46" s="40">
        <f t="shared" si="7"/>
        <v>2.5934508382046331E-3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6.4499545387285151E-4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f>2108.75+120</f>
        <v>2228.75</v>
      </c>
      <c r="N49" s="30">
        <f t="shared" si="3"/>
        <v>12021.25</v>
      </c>
      <c r="O49" s="40">
        <f t="shared" si="7"/>
        <v>7.0467334206819501E-4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/>
      <c r="J50" s="46"/>
      <c r="K50" s="46"/>
      <c r="L50" s="30">
        <f t="shared" si="6"/>
        <v>1554520.72</v>
      </c>
      <c r="M50" s="30">
        <f>482817.23+30147</f>
        <v>512964.23</v>
      </c>
      <c r="N50" s="30">
        <f t="shared" si="3"/>
        <v>1041556.49</v>
      </c>
      <c r="O50" s="40">
        <f t="shared" si="7"/>
        <v>0.16218607664185675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/>
      <c r="J51" s="46"/>
      <c r="K51" s="46"/>
      <c r="L51" s="30">
        <f t="shared" si="6"/>
        <v>979342.7</v>
      </c>
      <c r="M51" s="30">
        <f>289239.2+42956.87</f>
        <v>332196.07</v>
      </c>
      <c r="N51" s="30">
        <f t="shared" si="3"/>
        <v>647146.62999999989</v>
      </c>
      <c r="O51" s="40">
        <f t="shared" si="7"/>
        <v>0.10503184065903311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f>94679.24+122967.62</f>
        <v>217646.86</v>
      </c>
      <c r="N52" s="30">
        <f t="shared" si="3"/>
        <v>413938.51</v>
      </c>
      <c r="O52" s="40">
        <f t="shared" si="7"/>
        <v>6.8814331004755369E-2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/>
      <c r="I53" s="30"/>
      <c r="J53" s="46"/>
      <c r="K53" s="46"/>
      <c r="L53" s="30">
        <f t="shared" si="6"/>
        <v>20750</v>
      </c>
      <c r="M53" s="30">
        <v>34474.519999999997</v>
      </c>
      <c r="N53" s="30">
        <f t="shared" si="3"/>
        <v>-13724.519999999997</v>
      </c>
      <c r="O53" s="40">
        <f t="shared" si="7"/>
        <v>1.0899955232572889E-2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/>
      <c r="I54" s="30"/>
      <c r="J54" s="46"/>
      <c r="K54" s="46"/>
      <c r="L54" s="30">
        <f t="shared" si="6"/>
        <v>7500</v>
      </c>
      <c r="M54" s="30"/>
      <c r="N54" s="30">
        <f t="shared" si="3"/>
        <v>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f>12857.14+12857.14</f>
        <v>25714.28</v>
      </c>
      <c r="N55" s="30">
        <f t="shared" si="3"/>
        <v>64285.72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6.6396590839852359E-4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2.6204521184795062E-4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6.7345113566135968E-4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/>
      <c r="I63" s="30"/>
      <c r="J63" s="46"/>
      <c r="K63" s="46"/>
      <c r="L63" s="30">
        <f t="shared" si="6"/>
        <v>40000</v>
      </c>
      <c r="M63" s="30"/>
      <c r="N63" s="30">
        <f t="shared" si="3"/>
        <v>40000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/>
      <c r="I64" s="30"/>
      <c r="J64" s="46"/>
      <c r="K64" s="46"/>
      <c r="L64" s="30">
        <f t="shared" si="6"/>
        <v>25750</v>
      </c>
      <c r="M64" s="30"/>
      <c r="N64" s="30">
        <f t="shared" si="3"/>
        <v>25750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1.2646969683781403E-4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f>27000+4500</f>
        <v>31500</v>
      </c>
      <c r="N68" s="30">
        <f t="shared" si="3"/>
        <v>22500</v>
      </c>
      <c r="O68" s="40">
        <f t="shared" si="9"/>
        <v>9.9594886259778536E-3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</f>
        <v>1750</v>
      </c>
      <c r="N69" s="30">
        <f t="shared" si="3"/>
        <v>5750</v>
      </c>
      <c r="O69" s="40">
        <f t="shared" si="9"/>
        <v>5.5330492366543636E-4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f>3300+500</f>
        <v>3800</v>
      </c>
      <c r="N71" s="30">
        <f t="shared" si="3"/>
        <v>16700</v>
      </c>
      <c r="O71" s="40">
        <f t="shared" si="9"/>
        <v>1.2014621199592332E-3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f>832.11+110.36</f>
        <v>942.47</v>
      </c>
      <c r="N75" s="30">
        <f t="shared" si="3"/>
        <v>1557.53</v>
      </c>
      <c r="O75" s="40">
        <f t="shared" si="9"/>
        <v>2.9798473794683645E-4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/>
      <c r="I76" s="30"/>
      <c r="J76" s="46"/>
      <c r="K76" s="46"/>
      <c r="L76" s="30">
        <f t="shared" si="6"/>
        <v>18251.070000000007</v>
      </c>
      <c r="M76" s="30">
        <v>335.5</v>
      </c>
      <c r="N76" s="30">
        <f t="shared" si="3"/>
        <v>17915.570000000007</v>
      </c>
      <c r="O76" s="40">
        <f t="shared" si="9"/>
        <v>1.060764582227165E-4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/>
      <c r="N77" s="30">
        <f t="shared" si="3"/>
        <v>50000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1.3540098682850042E-3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/>
      <c r="I79" s="30"/>
      <c r="J79" s="46"/>
      <c r="K79" s="46"/>
      <c r="L79" s="30">
        <f t="shared" si="6"/>
        <v>26000</v>
      </c>
      <c r="M79" s="30">
        <f>3360.5+1721.5</f>
        <v>5082</v>
      </c>
      <c r="N79" s="30">
        <f t="shared" si="3"/>
        <v>20918</v>
      </c>
      <c r="O79" s="40">
        <f t="shared" si="9"/>
        <v>1.6067974983244272E-3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f>12106.7+3124.1</f>
        <v>15230.800000000001</v>
      </c>
      <c r="N83" s="30">
        <f t="shared" si="3"/>
        <v>131553.30000000002</v>
      </c>
      <c r="O83" s="40">
        <f t="shared" ref="O83:O119" si="11">M83/$M$138</f>
        <v>4.8155866464934449E-3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v>120</v>
      </c>
      <c r="N87" s="30">
        <f t="shared" si="3"/>
        <v>4880</v>
      </c>
      <c r="O87" s="40">
        <f t="shared" si="11"/>
        <v>3.7940909051344202E-5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f>2040+9748.86</f>
        <v>11788.86</v>
      </c>
      <c r="N88" s="30">
        <f t="shared" si="3"/>
        <v>22011.14</v>
      </c>
      <c r="O88" s="40">
        <f t="shared" si="11"/>
        <v>3.7273338756585806E-3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v>1040</v>
      </c>
      <c r="N89" s="30">
        <f t="shared" si="3"/>
        <v>4210</v>
      </c>
      <c r="O89" s="40">
        <f t="shared" si="11"/>
        <v>3.2882121177831643E-4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f>4623.57+1062.89</f>
        <v>5686.46</v>
      </c>
      <c r="N90" s="30">
        <f t="shared" si="3"/>
        <v>-186.46000000000004</v>
      </c>
      <c r="O90" s="40">
        <f t="shared" si="11"/>
        <v>1.7979121807008896E-3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v>943.06</v>
      </c>
      <c r="N91" s="30">
        <f t="shared" si="3"/>
        <v>2106.94</v>
      </c>
      <c r="O91" s="40">
        <f t="shared" si="11"/>
        <v>2.9817128074967217E-4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3.1617424209453505E-6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/>
      <c r="N94" s="30">
        <f t="shared" si="3"/>
        <v>2700</v>
      </c>
      <c r="O94" s="40">
        <f t="shared" si="11"/>
        <v>0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/>
      <c r="N95" s="30">
        <f t="shared" si="3"/>
        <v>2800</v>
      </c>
      <c r="O95" s="40">
        <f t="shared" si="11"/>
        <v>0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f>2322.82+495</f>
        <v>2817.82</v>
      </c>
      <c r="N96" s="30">
        <f t="shared" si="3"/>
        <v>5682.18</v>
      </c>
      <c r="O96" s="40">
        <f t="shared" si="11"/>
        <v>8.9092210285882274E-4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f>471.93+109.99</f>
        <v>581.91999999999996</v>
      </c>
      <c r="N97" s="30">
        <f t="shared" si="3"/>
        <v>5418.08</v>
      </c>
      <c r="O97" s="40">
        <f t="shared" si="11"/>
        <v>1.8398811495965182E-4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v>2862.9</v>
      </c>
      <c r="N98" s="30">
        <f t="shared" si="3"/>
        <v>14637.1</v>
      </c>
      <c r="O98" s="40">
        <f t="shared" si="11"/>
        <v>9.0517523769244443E-4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v>750.06</v>
      </c>
      <c r="N99" s="30">
        <f t="shared" si="3"/>
        <v>2249.94</v>
      </c>
      <c r="O99" s="40">
        <f t="shared" si="11"/>
        <v>2.3714965202542693E-4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6.0041488573752205E-5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/>
      <c r="I101" s="30"/>
      <c r="J101" s="46"/>
      <c r="K101" s="46"/>
      <c r="L101" s="30">
        <f t="shared" si="10"/>
        <v>50345</v>
      </c>
      <c r="M101" s="30"/>
      <c r="N101" s="30">
        <f t="shared" si="12"/>
        <v>50345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v>158</v>
      </c>
      <c r="N104" s="30">
        <f t="shared" si="12"/>
        <v>1342</v>
      </c>
      <c r="O104" s="40">
        <f t="shared" si="11"/>
        <v>4.9955530250936535E-5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v>683</v>
      </c>
      <c r="N108" s="30">
        <f t="shared" si="12"/>
        <v>1117</v>
      </c>
      <c r="O108" s="40">
        <f t="shared" si="11"/>
        <v>2.1594700735056742E-4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</f>
        <v>777225.48</v>
      </c>
      <c r="N110" s="30">
        <f t="shared" si="12"/>
        <v>88596.199999999953</v>
      </c>
      <c r="O110" s="40">
        <f t="shared" si="11"/>
        <v>0.24573867707556118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v>75</v>
      </c>
      <c r="N111" s="30">
        <f t="shared" si="12"/>
        <v>1425</v>
      </c>
      <c r="O111" s="40">
        <f t="shared" si="11"/>
        <v>2.3713068157090128E-5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f>823.3+8.8</f>
        <v>832.09999999999991</v>
      </c>
      <c r="N113" s="30">
        <f t="shared" si="12"/>
        <v>5767.9</v>
      </c>
      <c r="O113" s="40">
        <f t="shared" si="11"/>
        <v>2.6308858684686258E-4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f>874.51+529.06</f>
        <v>1403.57</v>
      </c>
      <c r="N114" s="30">
        <f t="shared" si="12"/>
        <v>596.43000000000006</v>
      </c>
      <c r="O114" s="40">
        <f t="shared" si="11"/>
        <v>4.4377268097662653E-4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1980</v>
      </c>
      <c r="N115" s="30">
        <f t="shared" si="12"/>
        <v>23271.899999999994</v>
      </c>
      <c r="O115" s="40">
        <f t="shared" si="11"/>
        <v>6.2602499934717943E-4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1.9885778956535782E-4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</f>
        <v>546</v>
      </c>
      <c r="N117" s="30">
        <f t="shared" si="12"/>
        <v>8954</v>
      </c>
      <c r="O117" s="40">
        <f t="shared" si="11"/>
        <v>1.7263113618361614E-4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/>
      <c r="I118" s="30"/>
      <c r="J118" s="46"/>
      <c r="K118" s="46"/>
      <c r="L118" s="30">
        <f t="shared" si="10"/>
        <v>76000</v>
      </c>
      <c r="M118" s="30">
        <f>819.13+346.18</f>
        <v>1165.31</v>
      </c>
      <c r="N118" s="30">
        <f t="shared" si="12"/>
        <v>74834.69</v>
      </c>
      <c r="O118" s="40">
        <f t="shared" si="11"/>
        <v>3.6844100605518262E-4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f>2520.4+25</f>
        <v>2545.4</v>
      </c>
      <c r="N119" s="30">
        <f t="shared" si="12"/>
        <v>4954.6000000000004</v>
      </c>
      <c r="O119" s="40">
        <f t="shared" si="11"/>
        <v>8.047899158274295E-4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7.8537681736282506E-4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v>9990</v>
      </c>
      <c r="N128" s="30">
        <f t="shared" si="12"/>
        <v>30010</v>
      </c>
      <c r="O128" s="40">
        <f>+M128/M138</f>
        <v>3.1585806785244049E-3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2.9265087848270163E-3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/>
      <c r="N134" s="30">
        <f t="shared" si="12"/>
        <v>185900</v>
      </c>
      <c r="O134" s="40">
        <f>M134/$M$138</f>
        <v>0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/>
      <c r="N135" s="30">
        <f t="shared" si="12"/>
        <v>7170</v>
      </c>
      <c r="O135" s="40">
        <f>M135/$M$138</f>
        <v>0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f>92605.72+1600</f>
        <v>94205.72</v>
      </c>
      <c r="N136" s="30">
        <f t="shared" si="12"/>
        <v>69494.28</v>
      </c>
      <c r="O136" s="40">
        <f>M136/$M$138</f>
        <v>2.9785422121969982E-2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3162812.9899999993</v>
      </c>
      <c r="N138" s="36">
        <f t="shared" si="14"/>
        <v>4667057.5500000007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3481915.7899999996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-3162812.9899999993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2134959.3600000003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>
        <v>272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6619.8+620.41+2996.59</f>
        <v>10236.799999999999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1923.61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4933.93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31483.899999999994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2166443.2600000002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271</v>
      </c>
      <c r="B170" s="60"/>
      <c r="C170" s="73">
        <f>C155+C165</f>
        <v>2166443.2600000002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D182" s="13" t="s">
        <v>231</v>
      </c>
      <c r="I182" s="13" t="s">
        <v>240</v>
      </c>
      <c r="K182" s="79"/>
    </row>
    <row r="183" spans="2:12" x14ac:dyDescent="0.2">
      <c r="B183" s="11" t="s">
        <v>90</v>
      </c>
      <c r="D183" s="13" t="s">
        <v>91</v>
      </c>
      <c r="I183" s="11" t="s">
        <v>252</v>
      </c>
    </row>
    <row r="187" spans="2:12" x14ac:dyDescent="0.2">
      <c r="I187" s="4"/>
      <c r="K187" s="71"/>
      <c r="L187" s="4"/>
    </row>
    <row r="188" spans="2:12" x14ac:dyDescent="0.2">
      <c r="I188" s="4"/>
      <c r="K188" s="71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I190" s="63"/>
      <c r="K190" s="72"/>
      <c r="L190" s="4"/>
    </row>
    <row r="191" spans="2:12" x14ac:dyDescent="0.2">
      <c r="G191" s="63"/>
      <c r="L191" s="4"/>
    </row>
    <row r="192" spans="2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A150" zoomScaleNormal="100" workbookViewId="0">
      <selection activeCell="C160" sqref="C16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273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04" t="s">
        <v>13</v>
      </c>
      <c r="J7" s="66" t="s">
        <v>12</v>
      </c>
      <c r="K7" s="105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22200+2000+2400+2800</f>
        <v>29400</v>
      </c>
      <c r="N10" s="30">
        <f t="shared" ref="N10:N22" si="1">L10-M10</f>
        <v>3600</v>
      </c>
      <c r="O10" s="29">
        <f>M10/$M$26</f>
        <v>7.7426064757843806E-3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/>
      <c r="J12" s="46"/>
      <c r="K12" s="46"/>
      <c r="L12" s="30">
        <f t="shared" si="0"/>
        <v>250000</v>
      </c>
      <c r="M12" s="30">
        <f>240+2380+4940+4640</f>
        <v>12200</v>
      </c>
      <c r="N12" s="30">
        <f t="shared" si="1"/>
        <v>237800</v>
      </c>
      <c r="O12" s="29">
        <f>M12/$M$26</f>
        <v>3.2129183334887565E-3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2030.59+637.13+936.06+990.35</f>
        <v>4594.13</v>
      </c>
      <c r="N15" s="30">
        <f t="shared" si="1"/>
        <v>-1294.1300000000001</v>
      </c>
      <c r="O15" s="29">
        <f>M15/$M$26</f>
        <v>1.2098823363467788E-3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0"/>
        <v>3103145.92</v>
      </c>
      <c r="M18" s="30">
        <f>1148712.35+247708.11+272206.72+247708.11</f>
        <v>1916335.29</v>
      </c>
      <c r="N18" s="30">
        <f t="shared" si="1"/>
        <v>1186810.6299999999</v>
      </c>
      <c r="O18" s="29">
        <f>M18/$M$26</f>
        <v>0.50467449068463055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f>1068728.91+549754.89+63716.67+59116.65</f>
        <v>1741317.1199999996</v>
      </c>
      <c r="N20" s="30">
        <f t="shared" si="1"/>
        <v>1452591.0900000003</v>
      </c>
      <c r="O20" s="29">
        <f>M20/$M$26</f>
        <v>0.45858276223490491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f>46662.18+46662.18</f>
        <v>93324.36</v>
      </c>
      <c r="N22" s="30">
        <f t="shared" si="1"/>
        <v>146177.53999999998</v>
      </c>
      <c r="O22" s="29">
        <f>M22/$M$26</f>
        <v>2.4577339934844653E-2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3797170.8999999994</v>
      </c>
      <c r="N26" s="36">
        <f t="shared" si="2"/>
        <v>4032699.6400000006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f>356676+60670.6+54772</f>
        <v>472118.6</v>
      </c>
      <c r="N31" s="30">
        <f t="shared" ref="N31:N99" si="3">L31-M31</f>
        <v>312453.44000000006</v>
      </c>
      <c r="O31" s="40">
        <f>M31/$M$138</f>
        <v>0.1274635924757315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f>4500+750+750</f>
        <v>6000</v>
      </c>
      <c r="N32" s="30">
        <f t="shared" si="3"/>
        <v>2700</v>
      </c>
      <c r="O32" s="40">
        <f>M32/$M$138</f>
        <v>1.6198928719486779E-3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f>113400+19571.23+29720.23</f>
        <v>162691.46000000002</v>
      </c>
      <c r="N33" s="30">
        <f t="shared" si="3"/>
        <v>118408.53999999998</v>
      </c>
      <c r="O33" s="40">
        <f>M33/$M$138</f>
        <v>4.3923789396820581E-2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f>282323.44+70580.86+70580.86</f>
        <v>423485.16</v>
      </c>
      <c r="N34" s="30">
        <f t="shared" si="3"/>
        <v>113514.84000000003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f>3406.29+1370.66+3034.52</f>
        <v>7811.4699999999993</v>
      </c>
      <c r="N36" s="30">
        <f t="shared" si="3"/>
        <v>26699.33</v>
      </c>
      <c r="O36" s="40">
        <f t="shared" si="5"/>
        <v>2.1089574287401565E-3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f>38420.79+6619.8+6296.85</f>
        <v>51337.440000000002</v>
      </c>
      <c r="N37" s="30">
        <f t="shared" si="3"/>
        <v>36063.709999999992</v>
      </c>
      <c r="O37" s="40">
        <f t="shared" si="5"/>
        <v>1.3860192186682156E-2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f>3600.83+620.41+590.14</f>
        <v>4811.38</v>
      </c>
      <c r="N38" s="30">
        <f t="shared" si="3"/>
        <v>3379.46</v>
      </c>
      <c r="O38" s="40">
        <f t="shared" si="5"/>
        <v>1.2989866943727384E-3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>
        <v>2010.58</v>
      </c>
      <c r="N39" s="30">
        <f t="shared" si="3"/>
        <v>65570.429999999993</v>
      </c>
      <c r="O39" s="40">
        <f t="shared" si="5"/>
        <v>5.428207017470955E-4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>
        <f>60946+256.49</f>
        <v>61202.49</v>
      </c>
      <c r="N40" s="30">
        <f t="shared" si="3"/>
        <v>6378.5199999999968</v>
      </c>
      <c r="O40" s="40">
        <f t="shared" si="5"/>
        <v>1.6523579549418372E-2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>
        <v>232.33</v>
      </c>
      <c r="N41" s="30">
        <f t="shared" si="3"/>
        <v>4167.67</v>
      </c>
      <c r="O41" s="40">
        <f t="shared" si="5"/>
        <v>6.2724951823306063E-5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f>4378.17+1159.04+1355.66</f>
        <v>6892.87</v>
      </c>
      <c r="N45" s="30">
        <f t="shared" si="3"/>
        <v>6857.13</v>
      </c>
      <c r="O45" s="40">
        <f t="shared" ref="O45:O54" si="7">M45/$M$138</f>
        <v>1.8609518300448139E-3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f>7613.76+588.84+588.84</f>
        <v>8791.44</v>
      </c>
      <c r="N46" s="30">
        <f t="shared" si="3"/>
        <v>17308.559999999998</v>
      </c>
      <c r="O46" s="40">
        <f t="shared" si="7"/>
        <v>2.3735318316940811E-3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5.5076357646255045E-4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f>2108.75+120+106.75</f>
        <v>2335.5</v>
      </c>
      <c r="N49" s="30">
        <f t="shared" si="3"/>
        <v>11914.5</v>
      </c>
      <c r="O49" s="40">
        <f t="shared" si="7"/>
        <v>6.3054330040602288E-4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/>
      <c r="J50" s="46"/>
      <c r="K50" s="46"/>
      <c r="L50" s="30">
        <f t="shared" si="6"/>
        <v>1554520.72</v>
      </c>
      <c r="M50" s="30">
        <f>482817.23+30147+162479.24</f>
        <v>675443.47</v>
      </c>
      <c r="N50" s="30">
        <f t="shared" si="3"/>
        <v>879077.25</v>
      </c>
      <c r="O50" s="40">
        <f t="shared" si="7"/>
        <v>0.18235767707621345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/>
      <c r="J51" s="46"/>
      <c r="K51" s="46"/>
      <c r="L51" s="30">
        <f t="shared" si="6"/>
        <v>979342.7</v>
      </c>
      <c r="M51" s="30">
        <f>289239.2+42956.87+90118.28</f>
        <v>422314.35</v>
      </c>
      <c r="N51" s="30">
        <f t="shared" si="3"/>
        <v>557028.35</v>
      </c>
      <c r="O51" s="40">
        <f t="shared" si="7"/>
        <v>0.11401733421443985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f>94679.24+122967.62+49876.8</f>
        <v>267523.65999999997</v>
      </c>
      <c r="N52" s="30">
        <f t="shared" si="3"/>
        <v>364061.71</v>
      </c>
      <c r="O52" s="40">
        <f t="shared" si="7"/>
        <v>7.2226611651936931E-2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/>
      <c r="I53" s="30"/>
      <c r="J53" s="46"/>
      <c r="K53" s="46"/>
      <c r="L53" s="30">
        <f t="shared" si="6"/>
        <v>20750</v>
      </c>
      <c r="M53" s="30">
        <f>34474.52+70</f>
        <v>34544.519999999997</v>
      </c>
      <c r="N53" s="30">
        <f t="shared" si="3"/>
        <v>-13794.519999999997</v>
      </c>
      <c r="O53" s="40">
        <f t="shared" si="7"/>
        <v>9.3264036188147569E-3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/>
      <c r="I54" s="30"/>
      <c r="J54" s="46"/>
      <c r="K54" s="46"/>
      <c r="L54" s="30">
        <f t="shared" si="6"/>
        <v>7500</v>
      </c>
      <c r="M54" s="30"/>
      <c r="N54" s="30">
        <f t="shared" si="3"/>
        <v>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f>12857.14+12857.14+12857.14</f>
        <v>38571.42</v>
      </c>
      <c r="N55" s="30">
        <f t="shared" si="3"/>
        <v>51428.58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5.6696250518203733E-4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2.2376120204517736E-4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5.7506196954178071E-4</v>
      </c>
    </row>
    <row r="61" spans="1:15" ht="15.95" hidden="1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/>
      <c r="I63" s="30"/>
      <c r="J63" s="46"/>
      <c r="K63" s="46"/>
      <c r="L63" s="30">
        <f t="shared" si="6"/>
        <v>40000</v>
      </c>
      <c r="M63" s="30"/>
      <c r="N63" s="30">
        <f t="shared" si="3"/>
        <v>40000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/>
      <c r="I64" s="30"/>
      <c r="J64" s="46"/>
      <c r="K64" s="46"/>
      <c r="L64" s="30">
        <f t="shared" si="6"/>
        <v>25750</v>
      </c>
      <c r="M64" s="30"/>
      <c r="N64" s="30">
        <f t="shared" si="3"/>
        <v>25750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v>400</v>
      </c>
      <c r="N67" s="30">
        <f t="shared" si="3"/>
        <v>102600</v>
      </c>
      <c r="O67" s="40">
        <f t="shared" si="9"/>
        <v>1.0799285812991186E-4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f>27000+4500+4500</f>
        <v>36000</v>
      </c>
      <c r="N68" s="30">
        <f t="shared" si="3"/>
        <v>18000</v>
      </c>
      <c r="O68" s="40">
        <f t="shared" si="9"/>
        <v>9.719357231692068E-3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1450+300+750</f>
        <v>2500</v>
      </c>
      <c r="N69" s="30">
        <f t="shared" si="3"/>
        <v>5000</v>
      </c>
      <c r="O69" s="40">
        <f t="shared" si="9"/>
        <v>6.7495536331194919E-4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f>3300+500+2000</f>
        <v>5800</v>
      </c>
      <c r="N71" s="30">
        <f t="shared" si="3"/>
        <v>14700</v>
      </c>
      <c r="O71" s="40">
        <f t="shared" si="9"/>
        <v>1.5658964428837221E-3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/>
      <c r="N74" s="30">
        <f t="shared" si="3"/>
        <v>8250</v>
      </c>
      <c r="O74" s="40">
        <f t="shared" si="9"/>
        <v>0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f>832.11+110.36+50.36</f>
        <v>992.83</v>
      </c>
      <c r="N75" s="30">
        <f t="shared" si="3"/>
        <v>1507.17</v>
      </c>
      <c r="O75" s="40">
        <f t="shared" si="9"/>
        <v>2.6804637334280098E-4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/>
      <c r="I76" s="30"/>
      <c r="J76" s="46"/>
      <c r="K76" s="46"/>
      <c r="L76" s="30">
        <f t="shared" si="6"/>
        <v>18251.070000000007</v>
      </c>
      <c r="M76" s="30">
        <v>335.5</v>
      </c>
      <c r="N76" s="30">
        <f t="shared" si="3"/>
        <v>17915.570000000007</v>
      </c>
      <c r="O76" s="40">
        <f t="shared" si="9"/>
        <v>9.0579009756463569E-5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/>
      <c r="N77" s="30">
        <f t="shared" si="3"/>
        <v>50000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1.1561931377104622E-3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/>
      <c r="I79" s="30"/>
      <c r="J79" s="46"/>
      <c r="K79" s="46"/>
      <c r="L79" s="30">
        <f t="shared" si="6"/>
        <v>26000</v>
      </c>
      <c r="M79" s="30">
        <f>3360.5+1721.5+665</f>
        <v>5747</v>
      </c>
      <c r="N79" s="30">
        <f t="shared" si="3"/>
        <v>20253</v>
      </c>
      <c r="O79" s="40">
        <f t="shared" si="9"/>
        <v>1.5515873891815087E-3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f>12106.7+3124.1+5507.4</f>
        <v>20738.2</v>
      </c>
      <c r="N83" s="30">
        <f t="shared" si="3"/>
        <v>126045.90000000001</v>
      </c>
      <c r="O83" s="40">
        <f t="shared" ref="O83:O119" si="11">M83/$M$138</f>
        <v>5.5989437261743458E-3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f>120+244.1</f>
        <v>364.1</v>
      </c>
      <c r="N87" s="30">
        <f t="shared" si="3"/>
        <v>4635.8999999999996</v>
      </c>
      <c r="O87" s="40">
        <f t="shared" si="11"/>
        <v>9.8300499112752285E-5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f>2040+9748.86+4600</f>
        <v>16388.86</v>
      </c>
      <c r="N88" s="30">
        <f t="shared" si="3"/>
        <v>17411.14</v>
      </c>
      <c r="O88" s="40">
        <f t="shared" si="11"/>
        <v>4.4246995822274683E-3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f>1040+391.6</f>
        <v>1431.6</v>
      </c>
      <c r="N89" s="30">
        <f t="shared" si="3"/>
        <v>3818.4</v>
      </c>
      <c r="O89" s="40">
        <f t="shared" si="11"/>
        <v>3.8650643924695451E-4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f>4623.57+1062.89+823.04</f>
        <v>6509.5</v>
      </c>
      <c r="N90" s="30">
        <f t="shared" si="3"/>
        <v>-1009.5</v>
      </c>
      <c r="O90" s="40">
        <f t="shared" si="11"/>
        <v>1.7574487749916531E-3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f>943.06+222.9</f>
        <v>1165.96</v>
      </c>
      <c r="N91" s="30">
        <f t="shared" si="3"/>
        <v>1884.04</v>
      </c>
      <c r="O91" s="40">
        <f t="shared" si="11"/>
        <v>3.147883821628801E-4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2.6998214532477967E-6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>
        <v>95</v>
      </c>
      <c r="N94" s="30">
        <f t="shared" si="3"/>
        <v>2605</v>
      </c>
      <c r="O94" s="40">
        <f t="shared" si="11"/>
        <v>2.5648303805854066E-5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>
        <v>75</v>
      </c>
      <c r="N95" s="30">
        <f t="shared" si="3"/>
        <v>2725</v>
      </c>
      <c r="O95" s="40">
        <f t="shared" si="11"/>
        <v>2.0248660899358474E-5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f>2322.82+495+405</f>
        <v>3222.82</v>
      </c>
      <c r="N96" s="30">
        <f t="shared" si="3"/>
        <v>5277.18</v>
      </c>
      <c r="O96" s="40">
        <f t="shared" si="11"/>
        <v>8.701038575956064E-4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f>471.93+109.99+159</f>
        <v>740.92</v>
      </c>
      <c r="N97" s="30">
        <f t="shared" si="3"/>
        <v>5259.08</v>
      </c>
      <c r="O97" s="40">
        <f t="shared" si="11"/>
        <v>2.0003517111403572E-4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f>2862.9+105</f>
        <v>2967.9</v>
      </c>
      <c r="N98" s="30">
        <f t="shared" si="3"/>
        <v>14532.1</v>
      </c>
      <c r="O98" s="40">
        <f t="shared" si="11"/>
        <v>8.0128000910941355E-4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f>750.06+85</f>
        <v>835.06</v>
      </c>
      <c r="N99" s="30">
        <f t="shared" si="3"/>
        <v>2164.94</v>
      </c>
      <c r="O99" s="40">
        <f t="shared" si="11"/>
        <v>2.2545129027491049E-4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5.1269609397175659E-5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/>
      <c r="I101" s="30"/>
      <c r="J101" s="46"/>
      <c r="K101" s="46"/>
      <c r="L101" s="30">
        <f t="shared" si="10"/>
        <v>50345</v>
      </c>
      <c r="M101" s="30"/>
      <c r="N101" s="30">
        <f t="shared" si="12"/>
        <v>50345</v>
      </c>
      <c r="O101" s="40">
        <f t="shared" si="11"/>
        <v>0</v>
      </c>
    </row>
    <row r="102" spans="1:15" ht="15.95" hidden="1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hidden="1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f>158+237.75</f>
        <v>395.75</v>
      </c>
      <c r="N104" s="30">
        <f t="shared" si="12"/>
        <v>1104.25</v>
      </c>
      <c r="O104" s="40">
        <f t="shared" si="11"/>
        <v>1.0684543401228154E-4</v>
      </c>
    </row>
    <row r="105" spans="1:15" ht="15.95" hidden="1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hidden="1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f>683+429.15</f>
        <v>1112.1500000000001</v>
      </c>
      <c r="N108" s="30">
        <f t="shared" si="12"/>
        <v>687.84999999999991</v>
      </c>
      <c r="O108" s="40">
        <f t="shared" si="11"/>
        <v>3.002606429229537E-4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11700+765525.48+7000</f>
        <v>784225.48</v>
      </c>
      <c r="N110" s="30">
        <f t="shared" si="12"/>
        <v>81596.199999999953</v>
      </c>
      <c r="O110" s="40">
        <f t="shared" si="11"/>
        <v>0.21172687750875507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f>75+110</f>
        <v>185</v>
      </c>
      <c r="N111" s="30">
        <f t="shared" si="12"/>
        <v>1315</v>
      </c>
      <c r="O111" s="40">
        <f t="shared" si="11"/>
        <v>4.9946696885084239E-5</v>
      </c>
    </row>
    <row r="112" spans="1:15" ht="15.95" hidden="1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f>823.3+8.8+78.9</f>
        <v>910.99999999999989</v>
      </c>
      <c r="N113" s="30">
        <f t="shared" si="12"/>
        <v>5689</v>
      </c>
      <c r="O113" s="40">
        <f t="shared" si="11"/>
        <v>2.4595373439087421E-4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f>874.51+529.06+89.99</f>
        <v>1493.56</v>
      </c>
      <c r="N114" s="30">
        <f t="shared" si="12"/>
        <v>506.44000000000005</v>
      </c>
      <c r="O114" s="40">
        <f t="shared" si="11"/>
        <v>4.0323453297127788E-4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1980</v>
      </c>
      <c r="N115" s="30">
        <f t="shared" si="12"/>
        <v>23271.899999999994</v>
      </c>
      <c r="O115" s="40">
        <f t="shared" si="11"/>
        <v>5.3456464774306368E-4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1.6980527030202016E-4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104+442+660</f>
        <v>1206</v>
      </c>
      <c r="N117" s="30">
        <f t="shared" si="12"/>
        <v>8294</v>
      </c>
      <c r="O117" s="40">
        <f t="shared" si="11"/>
        <v>3.2559846726168428E-4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/>
      <c r="I118" s="30"/>
      <c r="J118" s="46"/>
      <c r="K118" s="46"/>
      <c r="L118" s="30">
        <f t="shared" si="10"/>
        <v>76000</v>
      </c>
      <c r="M118" s="30">
        <f>819.13+346.18</f>
        <v>1165.31</v>
      </c>
      <c r="N118" s="30">
        <f t="shared" si="12"/>
        <v>74834.69</v>
      </c>
      <c r="O118" s="40">
        <f t="shared" si="11"/>
        <v>3.1461289376841895E-4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f>2520.4+25+1115.92</f>
        <v>3661.32</v>
      </c>
      <c r="N119" s="30">
        <f t="shared" si="12"/>
        <v>3838.68</v>
      </c>
      <c r="O119" s="40">
        <f t="shared" si="11"/>
        <v>9.8849102832052234E-4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6.7063564898675262E-4</v>
      </c>
    </row>
    <row r="125" spans="1:15" ht="15.95" hidden="1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v>9990</v>
      </c>
      <c r="N128" s="30">
        <f t="shared" si="12"/>
        <v>30010</v>
      </c>
      <c r="O128" s="40">
        <f>+M128/M138</f>
        <v>2.6971216317945488E-3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2.4989547371261603E-3</v>
      </c>
    </row>
    <row r="130" spans="1:15" ht="15.95" hidden="1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>
        <v>22230.83</v>
      </c>
      <c r="N134" s="30">
        <f t="shared" si="12"/>
        <v>163669.16999999998</v>
      </c>
      <c r="O134" s="40">
        <f>M134/$M$138</f>
        <v>6.0019271757504721E-3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>
        <v>1208</v>
      </c>
      <c r="N135" s="30">
        <f t="shared" si="12"/>
        <v>5962</v>
      </c>
      <c r="O135" s="40">
        <f>M135/$M$138</f>
        <v>3.2613843155233381E-4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f>92605.72+1600+1600</f>
        <v>95805.72</v>
      </c>
      <c r="N136" s="30">
        <f t="shared" si="12"/>
        <v>67894.28</v>
      </c>
      <c r="O136" s="40">
        <f>M136/$M$138</f>
        <v>2.586583381998515E-2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3703948.64</v>
      </c>
      <c r="N138" s="36">
        <f t="shared" si="14"/>
        <v>4125921.9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3797170.8999999994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-3703948.64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1909078.8199999989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>
        <v>272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6296.85+590.14+2790.22+1.82+58.35</f>
        <v>9737.380000000001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1633.81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11546.4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37307.149999999994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1946385.9699999988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272</v>
      </c>
      <c r="B170" s="60"/>
      <c r="C170" s="73">
        <f>C155+C165</f>
        <v>1946385.9699999988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D182" s="13" t="s">
        <v>231</v>
      </c>
      <c r="I182" s="13" t="s">
        <v>240</v>
      </c>
      <c r="K182" s="79"/>
    </row>
    <row r="183" spans="2:12" x14ac:dyDescent="0.2">
      <c r="B183" s="11" t="s">
        <v>90</v>
      </c>
      <c r="D183" s="13" t="s">
        <v>91</v>
      </c>
      <c r="I183" s="11" t="s">
        <v>252</v>
      </c>
    </row>
    <row r="187" spans="2:12" x14ac:dyDescent="0.2">
      <c r="I187" s="4"/>
      <c r="K187" s="71"/>
      <c r="L187" s="4"/>
    </row>
    <row r="188" spans="2:12" x14ac:dyDescent="0.2">
      <c r="I188" s="4"/>
      <c r="K188" s="71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I190" s="63"/>
      <c r="K190" s="72"/>
      <c r="L190" s="4"/>
    </row>
    <row r="191" spans="2:12" x14ac:dyDescent="0.2">
      <c r="G191" s="63"/>
      <c r="L191" s="4"/>
    </row>
    <row r="192" spans="2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5" max="14" man="1"/>
    <brk id="1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D20"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4"/>
      <c r="K1" s="64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4"/>
      <c r="K2" s="64"/>
      <c r="L2" s="16"/>
      <c r="M2" s="16"/>
      <c r="N2" s="16"/>
      <c r="O2" s="17"/>
    </row>
    <row r="3" spans="1:15" ht="15.75" x14ac:dyDescent="0.25">
      <c r="A3" s="16" t="s">
        <v>274</v>
      </c>
      <c r="B3" s="16"/>
      <c r="C3" s="16"/>
      <c r="D3" s="16"/>
      <c r="E3" s="16"/>
      <c r="F3" s="16"/>
      <c r="G3" s="16"/>
      <c r="H3" s="16"/>
      <c r="I3" s="16"/>
      <c r="J3" s="64"/>
      <c r="K3" s="64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4"/>
      <c r="K4" s="64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5"/>
      <c r="K5" s="65"/>
      <c r="L5" s="17"/>
      <c r="M5" s="17"/>
      <c r="N5" s="17"/>
      <c r="O5" s="17"/>
    </row>
    <row r="6" spans="1:15" ht="16.5" thickBot="1" x14ac:dyDescent="0.3">
      <c r="A6" s="18" t="s">
        <v>3</v>
      </c>
      <c r="B6" s="115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17" t="s">
        <v>17</v>
      </c>
      <c r="I6" s="118"/>
      <c r="J6" s="119" t="s">
        <v>243</v>
      </c>
      <c r="K6" s="120"/>
      <c r="L6" s="18" t="s">
        <v>5</v>
      </c>
      <c r="M6" s="115" t="s">
        <v>248</v>
      </c>
      <c r="N6" s="18" t="s">
        <v>8</v>
      </c>
      <c r="O6" s="18" t="s">
        <v>9</v>
      </c>
    </row>
    <row r="7" spans="1:15" ht="16.5" thickBot="1" x14ac:dyDescent="0.3">
      <c r="A7" s="21" t="s">
        <v>10</v>
      </c>
      <c r="B7" s="116"/>
      <c r="C7" s="21" t="s">
        <v>11</v>
      </c>
      <c r="D7" s="22" t="s">
        <v>12</v>
      </c>
      <c r="E7" s="22" t="s">
        <v>13</v>
      </c>
      <c r="F7" s="22" t="s">
        <v>12</v>
      </c>
      <c r="G7" s="22" t="s">
        <v>13</v>
      </c>
      <c r="H7" s="22" t="s">
        <v>12</v>
      </c>
      <c r="I7" s="106" t="s">
        <v>13</v>
      </c>
      <c r="J7" s="66" t="s">
        <v>12</v>
      </c>
      <c r="K7" s="107" t="s">
        <v>13</v>
      </c>
      <c r="L7" s="21" t="s">
        <v>14</v>
      </c>
      <c r="M7" s="116"/>
      <c r="N7" s="21" t="s">
        <v>15</v>
      </c>
      <c r="O7" s="21" t="s">
        <v>16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7"/>
      <c r="K8" s="67"/>
      <c r="L8" s="25"/>
      <c r="M8" s="25"/>
      <c r="N8" s="25"/>
      <c r="O8" s="26"/>
    </row>
    <row r="9" spans="1:15" ht="15.95" customHeight="1" x14ac:dyDescent="0.25">
      <c r="A9" s="27"/>
      <c r="B9" s="27" t="s">
        <v>182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18</v>
      </c>
      <c r="B10" s="31" t="s">
        <v>183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22200+2000+2400+2800+5200</f>
        <v>34600</v>
      </c>
      <c r="N10" s="30">
        <f t="shared" ref="N10:N22" si="1">L10-M10</f>
        <v>-1600</v>
      </c>
      <c r="O10" s="29">
        <f>M10/$M$26</f>
        <v>7.9044920963577507E-3</v>
      </c>
    </row>
    <row r="11" spans="1:15" ht="15.95" hidden="1" customHeight="1" x14ac:dyDescent="0.25">
      <c r="A11" s="31" t="s">
        <v>28</v>
      </c>
      <c r="B11" s="31" t="s">
        <v>29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/>
      <c r="N11" s="30">
        <v>0</v>
      </c>
      <c r="O11" s="29"/>
    </row>
    <row r="12" spans="1:15" ht="15.95" customHeight="1" x14ac:dyDescent="0.25">
      <c r="A12" s="31" t="s">
        <v>19</v>
      </c>
      <c r="B12" s="31" t="s">
        <v>184</v>
      </c>
      <c r="C12" s="30">
        <v>25000</v>
      </c>
      <c r="D12" s="30"/>
      <c r="E12" s="30"/>
      <c r="F12" s="30">
        <v>225000</v>
      </c>
      <c r="G12" s="30"/>
      <c r="H12" s="30"/>
      <c r="I12" s="30"/>
      <c r="J12" s="46"/>
      <c r="K12" s="46"/>
      <c r="L12" s="30">
        <f t="shared" si="0"/>
        <v>250000</v>
      </c>
      <c r="M12" s="30">
        <f>240+2380+4940+4640+8130</f>
        <v>20330</v>
      </c>
      <c r="N12" s="30">
        <f t="shared" si="1"/>
        <v>229670</v>
      </c>
      <c r="O12" s="29">
        <f>M12/$M$26</f>
        <v>4.6444602404321703E-3</v>
      </c>
    </row>
    <row r="13" spans="1:15" ht="15.95" customHeight="1" x14ac:dyDescent="0.25">
      <c r="A13" s="31" t="s">
        <v>20</v>
      </c>
      <c r="B13" s="31" t="s">
        <v>185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/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186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187</v>
      </c>
      <c r="B15" s="31" t="s">
        <v>236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2030.59+637.13+936.06+990.35+961.19</f>
        <v>5555.32</v>
      </c>
      <c r="N15" s="30">
        <f t="shared" si="1"/>
        <v>-2255.3199999999997</v>
      </c>
      <c r="O15" s="29">
        <f>M15/$M$26</f>
        <v>1.2691324575935879E-3</v>
      </c>
    </row>
    <row r="16" spans="1:15" ht="15.95" customHeight="1" x14ac:dyDescent="0.25">
      <c r="A16" s="27" t="s">
        <v>233</v>
      </c>
      <c r="B16" s="27" t="s">
        <v>234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235</v>
      </c>
      <c r="B17" s="27" t="s">
        <v>232</v>
      </c>
      <c r="C17" s="84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21</v>
      </c>
      <c r="B18" s="31" t="s">
        <v>22</v>
      </c>
      <c r="C18" s="30">
        <v>3328145.92</v>
      </c>
      <c r="D18" s="30"/>
      <c r="E18" s="30"/>
      <c r="F18" s="30"/>
      <c r="G18" s="30">
        <v>225000</v>
      </c>
      <c r="H18" s="30"/>
      <c r="I18" s="30"/>
      <c r="J18" s="46"/>
      <c r="K18" s="46"/>
      <c r="L18" s="30">
        <f t="shared" si="0"/>
        <v>3103145.92</v>
      </c>
      <c r="M18" s="30">
        <f>1148712.35+247708.11+272206.72+247708.11+435657.98</f>
        <v>2351993.27</v>
      </c>
      <c r="N18" s="30">
        <f t="shared" si="1"/>
        <v>751152.64999999991</v>
      </c>
      <c r="O18" s="29">
        <f>M18/$M$26</f>
        <v>0.53732116223704107</v>
      </c>
    </row>
    <row r="19" spans="1:15" ht="15.95" hidden="1" customHeight="1" x14ac:dyDescent="0.25">
      <c r="A19" s="31" t="s">
        <v>23</v>
      </c>
      <c r="B19" s="31" t="s">
        <v>31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/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24</v>
      </c>
      <c r="B20" s="31" t="s">
        <v>25</v>
      </c>
      <c r="C20" s="30">
        <v>3193908.21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3193908.21</v>
      </c>
      <c r="M20" s="30">
        <f>1068728.91+549754.89+63716.67+59116.65+130137.77</f>
        <v>1871454.8899999997</v>
      </c>
      <c r="N20" s="30">
        <f t="shared" si="1"/>
        <v>1322453.3200000003</v>
      </c>
      <c r="O20" s="29">
        <f>M20/$M$26</f>
        <v>0.42754047360390351</v>
      </c>
    </row>
    <row r="21" spans="1:15" ht="15.95" customHeight="1" x14ac:dyDescent="0.25">
      <c r="A21" s="31" t="s">
        <v>26</v>
      </c>
      <c r="B21" s="31" t="s">
        <v>27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/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30</v>
      </c>
      <c r="B22" s="32" t="s">
        <v>32</v>
      </c>
      <c r="C22" s="33">
        <v>239501.9</v>
      </c>
      <c r="D22" s="33"/>
      <c r="E22" s="33"/>
      <c r="F22" s="33"/>
      <c r="G22" s="33"/>
      <c r="H22" s="33"/>
      <c r="I22" s="33"/>
      <c r="J22" s="68"/>
      <c r="K22" s="68"/>
      <c r="L22" s="30">
        <f t="shared" si="0"/>
        <v>239501.9</v>
      </c>
      <c r="M22" s="30">
        <f>46662.18+46662.18</f>
        <v>93324.36</v>
      </c>
      <c r="N22" s="30">
        <f t="shared" si="1"/>
        <v>146177.53999999998</v>
      </c>
      <c r="O22" s="29">
        <f>M22/$M$26</f>
        <v>2.1320279364671835E-2</v>
      </c>
    </row>
    <row r="23" spans="1:15" ht="15.95" customHeight="1" x14ac:dyDescent="0.25">
      <c r="A23" s="27"/>
      <c r="B23" s="27" t="s">
        <v>188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191</v>
      </c>
      <c r="B24" s="31" t="s">
        <v>192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190</v>
      </c>
      <c r="B25" s="31" t="s">
        <v>189</v>
      </c>
      <c r="C25" s="30">
        <v>722807.68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722807.68</v>
      </c>
      <c r="M25" s="30"/>
      <c r="N25" s="30">
        <f>L25-M25</f>
        <v>722807.68</v>
      </c>
      <c r="O25" s="29">
        <f>M25/$M$26</f>
        <v>0</v>
      </c>
    </row>
    <row r="26" spans="1:15" ht="18" customHeight="1" thickBot="1" x14ac:dyDescent="0.3">
      <c r="A26" s="34"/>
      <c r="B26" s="35" t="s">
        <v>33</v>
      </c>
      <c r="C26" s="36">
        <f>SUM(C9:C25)</f>
        <v>7829870.54</v>
      </c>
      <c r="D26" s="36">
        <f t="shared" ref="D26:N26" si="2">SUM(D9:D25)</f>
        <v>0</v>
      </c>
      <c r="E26" s="36">
        <f t="shared" si="2"/>
        <v>0</v>
      </c>
      <c r="F26" s="36">
        <f t="shared" si="2"/>
        <v>225000</v>
      </c>
      <c r="G26" s="36">
        <f t="shared" si="2"/>
        <v>225000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7829870.54</v>
      </c>
      <c r="M26" s="36">
        <f>SUM(M10:M25)</f>
        <v>4377257.84</v>
      </c>
      <c r="N26" s="36">
        <f t="shared" si="2"/>
        <v>3452612.7000000007</v>
      </c>
      <c r="O26" s="29"/>
    </row>
    <row r="27" spans="1:15" ht="15.95" customHeight="1" x14ac:dyDescent="0.2">
      <c r="A27" s="37"/>
      <c r="B27" s="37"/>
      <c r="C27" s="38"/>
      <c r="D27" s="38"/>
      <c r="E27" s="38"/>
      <c r="F27" s="38"/>
      <c r="G27" s="38"/>
      <c r="H27" s="38"/>
      <c r="I27" s="38"/>
      <c r="J27" s="67"/>
      <c r="K27" s="67"/>
      <c r="L27" s="38"/>
      <c r="M27" s="38"/>
      <c r="N27" s="38"/>
      <c r="O27" s="39"/>
    </row>
    <row r="28" spans="1:15" ht="15.95" customHeight="1" x14ac:dyDescent="0.25">
      <c r="A28" s="27" t="s">
        <v>34</v>
      </c>
      <c r="B28" s="27" t="s">
        <v>35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36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37</v>
      </c>
      <c r="B31" s="31" t="s">
        <v>154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f>356676+60670.6+54772+54772</f>
        <v>526890.6</v>
      </c>
      <c r="N31" s="30">
        <f t="shared" ref="N31:N99" si="3">L31-M31</f>
        <v>257681.44000000006</v>
      </c>
      <c r="O31" s="40">
        <f>M31/$M$138</f>
        <v>0.13402739377513784</v>
      </c>
    </row>
    <row r="32" spans="1:15" ht="15.95" customHeight="1" x14ac:dyDescent="0.2">
      <c r="A32" s="43" t="s">
        <v>38</v>
      </c>
      <c r="B32" s="31" t="s">
        <v>155</v>
      </c>
      <c r="C32" s="30">
        <v>8700</v>
      </c>
      <c r="D32" s="30"/>
      <c r="E32" s="30"/>
      <c r="F32" s="46"/>
      <c r="G32" s="46"/>
      <c r="H32" s="30"/>
      <c r="I32" s="30"/>
      <c r="J32" s="46"/>
      <c r="K32" s="46"/>
      <c r="L32" s="30">
        <f>C32+D32-E32+F32-G32+H32-I32+J32-K32</f>
        <v>8700</v>
      </c>
      <c r="M32" s="30">
        <f>4500+750+750+750</f>
        <v>6750</v>
      </c>
      <c r="N32" s="30">
        <f t="shared" si="3"/>
        <v>1950</v>
      </c>
      <c r="O32" s="40">
        <f>M32/$M$138</f>
        <v>1.7170260922897095E-3</v>
      </c>
    </row>
    <row r="33" spans="1:15" ht="15.95" customHeight="1" x14ac:dyDescent="0.2">
      <c r="A33" s="43" t="s">
        <v>39</v>
      </c>
      <c r="B33" s="31" t="s">
        <v>156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1" si="4">C33+D33-E33+F33-G33+H33-I33+J33-K33</f>
        <v>281100</v>
      </c>
      <c r="M33" s="30">
        <f>113400+19571.23+29720.23+28849</f>
        <v>191540.46000000002</v>
      </c>
      <c r="N33" s="30">
        <f t="shared" si="3"/>
        <v>89559.539999999979</v>
      </c>
      <c r="O33" s="40">
        <f>M33/$M$138</f>
        <v>4.8722958155433108E-2</v>
      </c>
    </row>
    <row r="34" spans="1:15" ht="15.95" customHeight="1" x14ac:dyDescent="0.2">
      <c r="A34" s="95" t="s">
        <v>257</v>
      </c>
      <c r="B34" s="31" t="s">
        <v>258</v>
      </c>
      <c r="C34" s="30"/>
      <c r="D34" s="30">
        <v>537000</v>
      </c>
      <c r="E34" s="30"/>
      <c r="F34" s="46"/>
      <c r="G34" s="46"/>
      <c r="H34" s="30"/>
      <c r="I34" s="30"/>
      <c r="J34" s="46"/>
      <c r="K34" s="46"/>
      <c r="L34" s="30">
        <f t="shared" si="4"/>
        <v>537000</v>
      </c>
      <c r="M34" s="30">
        <f>282323.44+70580.86+70580.86+53900</f>
        <v>477385.16</v>
      </c>
      <c r="N34" s="30">
        <f t="shared" si="3"/>
        <v>59614.840000000026</v>
      </c>
      <c r="O34" s="40"/>
    </row>
    <row r="35" spans="1:15" ht="15.95" customHeight="1" x14ac:dyDescent="0.2">
      <c r="A35" s="43" t="s">
        <v>40</v>
      </c>
      <c r="B35" s="31" t="s">
        <v>41</v>
      </c>
      <c r="C35" s="30">
        <v>17500</v>
      </c>
      <c r="D35" s="30"/>
      <c r="E35" s="30"/>
      <c r="F35" s="46"/>
      <c r="G35" s="46"/>
      <c r="H35" s="30"/>
      <c r="I35" s="30"/>
      <c r="J35" s="46"/>
      <c r="K35" s="46"/>
      <c r="L35" s="30">
        <f t="shared" si="4"/>
        <v>17500</v>
      </c>
      <c r="M35" s="30"/>
      <c r="N35" s="30">
        <f t="shared" si="3"/>
        <v>17500</v>
      </c>
      <c r="O35" s="40">
        <f t="shared" ref="O35:O41" si="5">M35/$M$138</f>
        <v>0</v>
      </c>
    </row>
    <row r="36" spans="1:15" ht="15.95" customHeight="1" x14ac:dyDescent="0.2">
      <c r="A36" s="43" t="s">
        <v>42</v>
      </c>
      <c r="B36" s="31" t="s">
        <v>157</v>
      </c>
      <c r="C36" s="30">
        <v>34510.800000000003</v>
      </c>
      <c r="D36" s="30"/>
      <c r="E36" s="30"/>
      <c r="F36" s="46"/>
      <c r="G36" s="46"/>
      <c r="H36" s="30"/>
      <c r="I36" s="30"/>
      <c r="J36" s="46"/>
      <c r="K36" s="46"/>
      <c r="L36" s="30">
        <f t="shared" si="4"/>
        <v>34510.800000000003</v>
      </c>
      <c r="M36" s="30">
        <f>3406.29+1370.66+3034.52</f>
        <v>7811.4699999999993</v>
      </c>
      <c r="N36" s="30">
        <f t="shared" si="3"/>
        <v>26699.33</v>
      </c>
      <c r="O36" s="40">
        <f t="shared" si="5"/>
        <v>1.9870367124649327E-3</v>
      </c>
    </row>
    <row r="37" spans="1:15" ht="15.95" customHeight="1" x14ac:dyDescent="0.2">
      <c r="A37" s="43" t="s">
        <v>43</v>
      </c>
      <c r="B37" s="31" t="s">
        <v>158</v>
      </c>
      <c r="C37" s="30">
        <v>87401.15</v>
      </c>
      <c r="D37" s="30"/>
      <c r="E37" s="30"/>
      <c r="F37" s="46"/>
      <c r="G37" s="46"/>
      <c r="H37" s="30"/>
      <c r="I37" s="30"/>
      <c r="J37" s="46"/>
      <c r="K37" s="46"/>
      <c r="L37" s="30">
        <f t="shared" si="4"/>
        <v>87401.15</v>
      </c>
      <c r="M37" s="30">
        <f>38420.79+6619.8+6296.85+6163.93</f>
        <v>57501.37</v>
      </c>
      <c r="N37" s="30">
        <f t="shared" si="3"/>
        <v>29899.779999999992</v>
      </c>
      <c r="O37" s="40">
        <f t="shared" si="5"/>
        <v>1.4626867056652554E-2</v>
      </c>
    </row>
    <row r="38" spans="1:15" ht="15.95" customHeight="1" x14ac:dyDescent="0.2">
      <c r="A38" s="43" t="s">
        <v>44</v>
      </c>
      <c r="B38" s="31" t="s">
        <v>159</v>
      </c>
      <c r="C38" s="30">
        <v>8190.84</v>
      </c>
      <c r="D38" s="30"/>
      <c r="E38" s="30"/>
      <c r="F38" s="46"/>
      <c r="G38" s="46"/>
      <c r="H38" s="30"/>
      <c r="I38" s="30"/>
      <c r="J38" s="46"/>
      <c r="K38" s="46"/>
      <c r="L38" s="30">
        <f t="shared" si="4"/>
        <v>8190.84</v>
      </c>
      <c r="M38" s="30">
        <f>3600.83+620.41+590.14+577.7</f>
        <v>5389.08</v>
      </c>
      <c r="N38" s="30">
        <f t="shared" si="3"/>
        <v>2801.76</v>
      </c>
      <c r="O38" s="40">
        <f t="shared" si="5"/>
        <v>1.3708431071757967E-3</v>
      </c>
    </row>
    <row r="39" spans="1:15" ht="15.95" customHeight="1" x14ac:dyDescent="0.2">
      <c r="A39" s="43" t="s">
        <v>45</v>
      </c>
      <c r="B39" s="31" t="s">
        <v>46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4"/>
        <v>67581.009999999995</v>
      </c>
      <c r="M39" s="30">
        <v>2010.58</v>
      </c>
      <c r="N39" s="30">
        <f t="shared" si="3"/>
        <v>65570.429999999993</v>
      </c>
      <c r="O39" s="40">
        <f t="shared" si="5"/>
        <v>5.1143975120531023E-4</v>
      </c>
    </row>
    <row r="40" spans="1:15" ht="15.95" customHeight="1" x14ac:dyDescent="0.2">
      <c r="A40" s="43" t="s">
        <v>47</v>
      </c>
      <c r="B40" s="31" t="s">
        <v>160</v>
      </c>
      <c r="C40" s="30">
        <v>67581.009999999995</v>
      </c>
      <c r="D40" s="30"/>
      <c r="E40" s="30"/>
      <c r="F40" s="46"/>
      <c r="G40" s="46"/>
      <c r="H40" s="30"/>
      <c r="I40" s="30"/>
      <c r="J40" s="46"/>
      <c r="K40" s="46"/>
      <c r="L40" s="30">
        <f t="shared" si="4"/>
        <v>67581.009999999995</v>
      </c>
      <c r="M40" s="30">
        <f>60946+256.49</f>
        <v>61202.49</v>
      </c>
      <c r="N40" s="30">
        <f t="shared" si="3"/>
        <v>6378.5199999999968</v>
      </c>
      <c r="O40" s="40">
        <f t="shared" si="5"/>
        <v>1.5568336628607411E-2</v>
      </c>
    </row>
    <row r="41" spans="1:15" ht="15.95" customHeight="1" x14ac:dyDescent="0.2">
      <c r="A41" s="43" t="s">
        <v>48</v>
      </c>
      <c r="B41" s="31" t="s">
        <v>49</v>
      </c>
      <c r="C41" s="30">
        <v>4400</v>
      </c>
      <c r="D41" s="30"/>
      <c r="E41" s="30"/>
      <c r="F41" s="46"/>
      <c r="G41" s="46"/>
      <c r="H41" s="30"/>
      <c r="I41" s="30"/>
      <c r="J41" s="46"/>
      <c r="K41" s="46"/>
      <c r="L41" s="30">
        <f t="shared" si="4"/>
        <v>4400</v>
      </c>
      <c r="M41" s="30">
        <v>232.33</v>
      </c>
      <c r="N41" s="30">
        <f t="shared" si="3"/>
        <v>4167.67</v>
      </c>
      <c r="O41" s="40">
        <f t="shared" si="5"/>
        <v>5.9098766225432335E-5</v>
      </c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">
      <c r="A43" s="43"/>
      <c r="B43" s="31"/>
      <c r="C43" s="30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5">
      <c r="A44" s="41">
        <v>1</v>
      </c>
      <c r="B44" s="42" t="s">
        <v>50</v>
      </c>
      <c r="C44" s="28"/>
      <c r="D44" s="30"/>
      <c r="E44" s="30"/>
      <c r="F44" s="46"/>
      <c r="G44" s="46"/>
      <c r="H44" s="30"/>
      <c r="I44" s="30"/>
      <c r="J44" s="46"/>
      <c r="K44" s="46"/>
      <c r="L44" s="30"/>
      <c r="M44" s="30"/>
      <c r="N44" s="30"/>
      <c r="O44" s="40"/>
    </row>
    <row r="45" spans="1:15" ht="15.95" customHeight="1" x14ac:dyDescent="0.2">
      <c r="A45" s="43" t="s">
        <v>93</v>
      </c>
      <c r="B45" s="31" t="s">
        <v>51</v>
      </c>
      <c r="C45" s="30">
        <v>13750</v>
      </c>
      <c r="D45" s="30"/>
      <c r="E45" s="30"/>
      <c r="F45" s="46"/>
      <c r="G45" s="46"/>
      <c r="H45" s="30"/>
      <c r="I45" s="30"/>
      <c r="J45" s="46"/>
      <c r="K45" s="46"/>
      <c r="L45" s="30">
        <f t="shared" ref="L45:L79" si="6">C45+D45-E45+F45-G45+H45-I45+J45-K45</f>
        <v>13750</v>
      </c>
      <c r="M45" s="30">
        <f>4378.17+1159.04+1355.66+960.97</f>
        <v>7853.84</v>
      </c>
      <c r="N45" s="30">
        <f t="shared" si="3"/>
        <v>5896.16</v>
      </c>
      <c r="O45" s="40">
        <f t="shared" ref="O45:O54" si="7">M45/$M$138</f>
        <v>1.9978145488397945E-3</v>
      </c>
    </row>
    <row r="46" spans="1:15" ht="15.95" customHeight="1" x14ac:dyDescent="0.2">
      <c r="A46" s="43" t="s">
        <v>94</v>
      </c>
      <c r="B46" s="31" t="s">
        <v>52</v>
      </c>
      <c r="C46" s="30">
        <v>26100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26100</v>
      </c>
      <c r="M46" s="30">
        <f>7613.76+588.84+588.84+608</f>
        <v>9399.44</v>
      </c>
      <c r="N46" s="30">
        <f t="shared" si="3"/>
        <v>16700.559999999998</v>
      </c>
      <c r="O46" s="40">
        <f t="shared" si="7"/>
        <v>2.3909753678387539E-3</v>
      </c>
    </row>
    <row r="47" spans="1:15" ht="15.95" customHeight="1" x14ac:dyDescent="0.2">
      <c r="A47" s="43" t="s">
        <v>95</v>
      </c>
      <c r="B47" s="31" t="s">
        <v>53</v>
      </c>
      <c r="C47" s="30">
        <v>2000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2000</v>
      </c>
      <c r="M47" s="30"/>
      <c r="N47" s="30">
        <f t="shared" si="3"/>
        <v>2000</v>
      </c>
      <c r="O47" s="40">
        <f t="shared" si="7"/>
        <v>0</v>
      </c>
    </row>
    <row r="48" spans="1:15" ht="15.95" customHeight="1" x14ac:dyDescent="0.2">
      <c r="A48" s="43" t="s">
        <v>96</v>
      </c>
      <c r="B48" s="31" t="s">
        <v>161</v>
      </c>
      <c r="C48" s="30">
        <v>8000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8000</v>
      </c>
      <c r="M48" s="30">
        <v>2040</v>
      </c>
      <c r="N48" s="30">
        <f t="shared" si="3"/>
        <v>5960</v>
      </c>
      <c r="O48" s="40">
        <f t="shared" si="7"/>
        <v>5.1892344122533439E-4</v>
      </c>
    </row>
    <row r="49" spans="1:15" ht="15.95" customHeight="1" x14ac:dyDescent="0.2">
      <c r="A49" s="43" t="s">
        <v>97</v>
      </c>
      <c r="B49" s="31" t="s">
        <v>162</v>
      </c>
      <c r="C49" s="30">
        <v>14250</v>
      </c>
      <c r="D49" s="30"/>
      <c r="E49" s="30"/>
      <c r="F49" s="46"/>
      <c r="G49" s="46"/>
      <c r="H49" s="30"/>
      <c r="I49" s="30"/>
      <c r="J49" s="46"/>
      <c r="K49" s="46"/>
      <c r="L49" s="30">
        <f>C49+D49-E49+F49-G49+H49-I49+J49-K49</f>
        <v>14250</v>
      </c>
      <c r="M49" s="30">
        <f>2108.75+120+106.75+60.25</f>
        <v>2395.75</v>
      </c>
      <c r="N49" s="30">
        <f t="shared" si="3"/>
        <v>11854.25</v>
      </c>
      <c r="O49" s="40">
        <f t="shared" si="7"/>
        <v>6.0941707564489953E-4</v>
      </c>
    </row>
    <row r="50" spans="1:15" ht="15.95" customHeight="1" x14ac:dyDescent="0.2">
      <c r="A50" s="43" t="s">
        <v>98</v>
      </c>
      <c r="B50" s="31" t="s">
        <v>163</v>
      </c>
      <c r="C50" s="30">
        <v>1715190.72</v>
      </c>
      <c r="D50" s="30"/>
      <c r="E50" s="30">
        <v>100000</v>
      </c>
      <c r="F50" s="46"/>
      <c r="G50" s="46">
        <v>60670</v>
      </c>
      <c r="H50" s="30"/>
      <c r="I50" s="30"/>
      <c r="J50" s="46"/>
      <c r="K50" s="46"/>
      <c r="L50" s="30">
        <f t="shared" si="6"/>
        <v>1554520.72</v>
      </c>
      <c r="M50" s="30">
        <f>482817.23+30147+162479.24</f>
        <v>675443.47</v>
      </c>
      <c r="N50" s="30">
        <f t="shared" si="3"/>
        <v>879077.25</v>
      </c>
      <c r="O50" s="40">
        <f t="shared" si="7"/>
        <v>0.17181541657136321</v>
      </c>
    </row>
    <row r="51" spans="1:15" ht="15.95" customHeight="1" x14ac:dyDescent="0.2">
      <c r="A51" s="43" t="s">
        <v>99</v>
      </c>
      <c r="B51" s="31" t="s">
        <v>54</v>
      </c>
      <c r="C51" s="30">
        <v>261792.7</v>
      </c>
      <c r="D51" s="30">
        <v>100000</v>
      </c>
      <c r="E51" s="30"/>
      <c r="F51" s="46">
        <v>617550</v>
      </c>
      <c r="G51" s="46"/>
      <c r="H51" s="30"/>
      <c r="I51" s="30"/>
      <c r="J51" s="46"/>
      <c r="K51" s="46"/>
      <c r="L51" s="30">
        <f t="shared" si="6"/>
        <v>979342.7</v>
      </c>
      <c r="M51" s="30">
        <f>289239.2+42956.87+90118.28+16491.41</f>
        <v>438805.75999999995</v>
      </c>
      <c r="N51" s="30">
        <f t="shared" si="3"/>
        <v>540536.93999999994</v>
      </c>
      <c r="O51" s="40">
        <f t="shared" si="7"/>
        <v>0.1116208799062246</v>
      </c>
    </row>
    <row r="52" spans="1:15" ht="15.95" customHeight="1" x14ac:dyDescent="0.2">
      <c r="A52" s="43" t="s">
        <v>100</v>
      </c>
      <c r="B52" s="31" t="s">
        <v>164</v>
      </c>
      <c r="C52" s="30">
        <v>631585.37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631585.37</v>
      </c>
      <c r="M52" s="30">
        <f>94679.24+122967.62+49876.8</f>
        <v>267523.65999999997</v>
      </c>
      <c r="N52" s="30">
        <f t="shared" si="3"/>
        <v>364061.71</v>
      </c>
      <c r="O52" s="40">
        <f t="shared" si="7"/>
        <v>6.8051126596272715E-2</v>
      </c>
    </row>
    <row r="53" spans="1:15" ht="15.95" customHeight="1" x14ac:dyDescent="0.2">
      <c r="A53" s="43" t="s">
        <v>101</v>
      </c>
      <c r="B53" s="31" t="s">
        <v>55</v>
      </c>
      <c r="C53" s="30">
        <v>70750</v>
      </c>
      <c r="D53" s="30"/>
      <c r="E53" s="30"/>
      <c r="F53" s="46"/>
      <c r="G53" s="46">
        <v>50000</v>
      </c>
      <c r="H53" s="30"/>
      <c r="I53" s="30"/>
      <c r="J53" s="46"/>
      <c r="K53" s="46"/>
      <c r="L53" s="30">
        <f t="shared" si="6"/>
        <v>20750</v>
      </c>
      <c r="M53" s="30">
        <f>34474.52+70</f>
        <v>34544.519999999997</v>
      </c>
      <c r="N53" s="30">
        <f t="shared" si="3"/>
        <v>-13794.519999999997</v>
      </c>
      <c r="O53" s="40">
        <f t="shared" si="7"/>
        <v>8.7872358793516618E-3</v>
      </c>
    </row>
    <row r="54" spans="1:15" ht="15.95" customHeight="1" x14ac:dyDescent="0.2">
      <c r="A54" s="43" t="s">
        <v>102</v>
      </c>
      <c r="B54" s="31" t="s">
        <v>56</v>
      </c>
      <c r="C54" s="30">
        <v>42500</v>
      </c>
      <c r="D54" s="30"/>
      <c r="E54" s="30"/>
      <c r="F54" s="46"/>
      <c r="G54" s="46">
        <v>35000</v>
      </c>
      <c r="H54" s="30"/>
      <c r="I54" s="30"/>
      <c r="J54" s="46"/>
      <c r="K54" s="46"/>
      <c r="L54" s="30">
        <f t="shared" si="6"/>
        <v>7500</v>
      </c>
      <c r="M54" s="30"/>
      <c r="N54" s="30">
        <f t="shared" si="3"/>
        <v>7500</v>
      </c>
      <c r="O54" s="40">
        <f t="shared" si="7"/>
        <v>0</v>
      </c>
    </row>
    <row r="55" spans="1:15" ht="15.95" customHeight="1" x14ac:dyDescent="0.2">
      <c r="A55" s="43">
        <v>151</v>
      </c>
      <c r="B55" s="31" t="s">
        <v>259</v>
      </c>
      <c r="C55" s="30"/>
      <c r="D55" s="30">
        <v>90000</v>
      </c>
      <c r="E55" s="30"/>
      <c r="F55" s="46"/>
      <c r="G55" s="46"/>
      <c r="H55" s="30"/>
      <c r="I55" s="30"/>
      <c r="J55" s="46"/>
      <c r="K55" s="46"/>
      <c r="L55" s="30">
        <f t="shared" si="6"/>
        <v>90000</v>
      </c>
      <c r="M55" s="30">
        <f>12857.14+12857.14+12857.14+12857.14</f>
        <v>51428.56</v>
      </c>
      <c r="N55" s="30">
        <f t="shared" si="3"/>
        <v>38571.440000000002</v>
      </c>
      <c r="O55" s="40"/>
    </row>
    <row r="56" spans="1:15" ht="15.95" customHeight="1" x14ac:dyDescent="0.2">
      <c r="A56" s="43" t="s">
        <v>103</v>
      </c>
      <c r="B56" s="31" t="s">
        <v>57</v>
      </c>
      <c r="C56" s="30">
        <v>4400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4400</v>
      </c>
      <c r="M56" s="30">
        <v>2100</v>
      </c>
      <c r="N56" s="30">
        <f t="shared" si="3"/>
        <v>2300</v>
      </c>
      <c r="O56" s="40">
        <f t="shared" ref="O56:O61" si="8">M56/$M$138</f>
        <v>5.3418589537902077E-4</v>
      </c>
    </row>
    <row r="57" spans="1:15" ht="15.95" customHeight="1" x14ac:dyDescent="0.2">
      <c r="A57" s="43" t="s">
        <v>104</v>
      </c>
      <c r="B57" s="31" t="s">
        <v>165</v>
      </c>
      <c r="C57" s="30">
        <v>3004.32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3004.32</v>
      </c>
      <c r="M57" s="30"/>
      <c r="N57" s="30">
        <f t="shared" si="3"/>
        <v>3004.32</v>
      </c>
      <c r="O57" s="40">
        <f t="shared" si="8"/>
        <v>0</v>
      </c>
    </row>
    <row r="58" spans="1:15" ht="15.95" customHeight="1" x14ac:dyDescent="0.2">
      <c r="A58" s="43" t="s">
        <v>105</v>
      </c>
      <c r="B58" s="31" t="s">
        <v>166</v>
      </c>
      <c r="C58" s="30">
        <v>7750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7750</v>
      </c>
      <c r="M58" s="30"/>
      <c r="N58" s="30">
        <f t="shared" si="3"/>
        <v>7750</v>
      </c>
      <c r="O58" s="40">
        <f t="shared" si="8"/>
        <v>0</v>
      </c>
    </row>
    <row r="59" spans="1:15" ht="15.95" customHeight="1" x14ac:dyDescent="0.2">
      <c r="A59" s="43" t="s">
        <v>106</v>
      </c>
      <c r="B59" s="31" t="s">
        <v>167</v>
      </c>
      <c r="C59" s="30">
        <v>7000</v>
      </c>
      <c r="D59" s="30"/>
      <c r="E59" s="30"/>
      <c r="F59" s="46"/>
      <c r="G59" s="46"/>
      <c r="H59" s="30"/>
      <c r="I59" s="30"/>
      <c r="J59" s="46"/>
      <c r="K59" s="46"/>
      <c r="L59" s="30">
        <f t="shared" si="6"/>
        <v>7000</v>
      </c>
      <c r="M59" s="30">
        <f>565.6+263.2</f>
        <v>828.8</v>
      </c>
      <c r="N59" s="30">
        <f t="shared" si="3"/>
        <v>6171.2</v>
      </c>
      <c r="O59" s="40">
        <f t="shared" si="8"/>
        <v>2.1082536670958684E-4</v>
      </c>
    </row>
    <row r="60" spans="1:15" ht="15.95" customHeight="1" x14ac:dyDescent="0.2">
      <c r="A60" s="43" t="s">
        <v>107</v>
      </c>
      <c r="B60" s="31" t="s">
        <v>168</v>
      </c>
      <c r="C60" s="30">
        <v>14000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14000</v>
      </c>
      <c r="M60" s="30">
        <v>2130</v>
      </c>
      <c r="N60" s="30">
        <f t="shared" si="3"/>
        <v>11870</v>
      </c>
      <c r="O60" s="40">
        <f t="shared" si="8"/>
        <v>5.4181712245586391E-4</v>
      </c>
    </row>
    <row r="61" spans="1:15" ht="15.95" customHeight="1" x14ac:dyDescent="0.2">
      <c r="A61" s="43" t="s">
        <v>108</v>
      </c>
      <c r="B61" s="31" t="s">
        <v>169</v>
      </c>
      <c r="C61" s="30"/>
      <c r="D61" s="30"/>
      <c r="E61" s="30"/>
      <c r="F61" s="46"/>
      <c r="G61" s="46"/>
      <c r="H61" s="30"/>
      <c r="I61" s="30"/>
      <c r="J61" s="46"/>
      <c r="K61" s="46"/>
      <c r="L61" s="30">
        <f t="shared" si="6"/>
        <v>0</v>
      </c>
      <c r="M61" s="30"/>
      <c r="N61" s="30">
        <f t="shared" si="3"/>
        <v>0</v>
      </c>
      <c r="O61" s="40">
        <f t="shared" si="8"/>
        <v>0</v>
      </c>
    </row>
    <row r="62" spans="1:15" ht="15.95" customHeight="1" x14ac:dyDescent="0.2">
      <c r="A62" s="43">
        <v>169</v>
      </c>
      <c r="B62" s="31" t="s">
        <v>241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/>
      <c r="N62" s="30">
        <f t="shared" si="3"/>
        <v>15000</v>
      </c>
      <c r="O62" s="40"/>
    </row>
    <row r="63" spans="1:15" ht="15.95" customHeight="1" x14ac:dyDescent="0.2">
      <c r="A63" s="43">
        <v>171</v>
      </c>
      <c r="B63" s="31" t="s">
        <v>169</v>
      </c>
      <c r="C63" s="30">
        <v>110000</v>
      </c>
      <c r="D63" s="30"/>
      <c r="E63" s="30">
        <v>10000</v>
      </c>
      <c r="F63" s="46"/>
      <c r="G63" s="46">
        <v>60000</v>
      </c>
      <c r="H63" s="30"/>
      <c r="I63" s="30"/>
      <c r="J63" s="46"/>
      <c r="K63" s="46"/>
      <c r="L63" s="30">
        <f t="shared" si="6"/>
        <v>40000</v>
      </c>
      <c r="M63" s="30"/>
      <c r="N63" s="30">
        <f t="shared" si="3"/>
        <v>40000</v>
      </c>
      <c r="O63" s="40"/>
    </row>
    <row r="64" spans="1:15" ht="15.95" customHeight="1" x14ac:dyDescent="0.2">
      <c r="A64" s="43" t="s">
        <v>109</v>
      </c>
      <c r="B64" s="31" t="s">
        <v>170</v>
      </c>
      <c r="C64" s="30">
        <v>9750</v>
      </c>
      <c r="D64" s="30"/>
      <c r="E64" s="30"/>
      <c r="F64" s="46">
        <v>16000</v>
      </c>
      <c r="G64" s="46"/>
      <c r="H64" s="30"/>
      <c r="I64" s="30"/>
      <c r="J64" s="46"/>
      <c r="K64" s="46"/>
      <c r="L64" s="30">
        <f t="shared" si="6"/>
        <v>25750</v>
      </c>
      <c r="M64" s="30"/>
      <c r="N64" s="30">
        <f t="shared" si="3"/>
        <v>25750</v>
      </c>
      <c r="O64" s="40">
        <f t="shared" ref="O64:O79" si="9">M64/$M$138</f>
        <v>0</v>
      </c>
    </row>
    <row r="65" spans="1:15" ht="15.95" customHeight="1" x14ac:dyDescent="0.2">
      <c r="A65" s="43" t="s">
        <v>110</v>
      </c>
      <c r="B65" s="31" t="s">
        <v>171</v>
      </c>
      <c r="C65" s="30">
        <v>260706.83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260706.83</v>
      </c>
      <c r="M65" s="30"/>
      <c r="N65" s="30">
        <f t="shared" si="3"/>
        <v>260706.83</v>
      </c>
      <c r="O65" s="40">
        <f t="shared" si="9"/>
        <v>0</v>
      </c>
    </row>
    <row r="66" spans="1:15" ht="15.95" customHeight="1" x14ac:dyDescent="0.2">
      <c r="A66" s="43">
        <v>182</v>
      </c>
      <c r="B66" s="31" t="s">
        <v>239</v>
      </c>
      <c r="C66" s="30">
        <v>0</v>
      </c>
      <c r="D66" s="30"/>
      <c r="E66" s="30"/>
      <c r="F66" s="46">
        <v>10000</v>
      </c>
      <c r="G66" s="46"/>
      <c r="H66" s="30"/>
      <c r="I66" s="30"/>
      <c r="J66" s="46"/>
      <c r="K66" s="46"/>
      <c r="L66" s="30">
        <f t="shared" si="6"/>
        <v>10000</v>
      </c>
      <c r="M66" s="30"/>
      <c r="N66" s="30">
        <f t="shared" si="3"/>
        <v>10000</v>
      </c>
      <c r="O66" s="40">
        <f t="shared" si="9"/>
        <v>0</v>
      </c>
    </row>
    <row r="67" spans="1:15" ht="15.95" customHeight="1" x14ac:dyDescent="0.2">
      <c r="A67" s="43" t="s">
        <v>111</v>
      </c>
      <c r="B67" s="31" t="s">
        <v>172</v>
      </c>
      <c r="C67" s="30">
        <v>15000</v>
      </c>
      <c r="D67" s="30">
        <v>88000</v>
      </c>
      <c r="E67" s="30"/>
      <c r="F67" s="46"/>
      <c r="G67" s="46"/>
      <c r="H67" s="30"/>
      <c r="I67" s="30"/>
      <c r="J67" s="46"/>
      <c r="K67" s="46"/>
      <c r="L67" s="30">
        <f t="shared" si="6"/>
        <v>103000</v>
      </c>
      <c r="M67" s="30">
        <f>400+13500</f>
        <v>13900</v>
      </c>
      <c r="N67" s="30">
        <f t="shared" si="3"/>
        <v>89100</v>
      </c>
      <c r="O67" s="40">
        <f t="shared" si="9"/>
        <v>3.5358018789373277E-3</v>
      </c>
    </row>
    <row r="68" spans="1:15" ht="15.95" customHeight="1" x14ac:dyDescent="0.2">
      <c r="A68" s="43" t="s">
        <v>112</v>
      </c>
      <c r="B68" s="31" t="s">
        <v>173</v>
      </c>
      <c r="C68" s="30">
        <v>54000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54000</v>
      </c>
      <c r="M68" s="30">
        <f>27000+4500+4500+4500</f>
        <v>40500</v>
      </c>
      <c r="N68" s="30">
        <f t="shared" si="3"/>
        <v>13500</v>
      </c>
      <c r="O68" s="40">
        <f t="shared" si="9"/>
        <v>1.0302156553738256E-2</v>
      </c>
    </row>
    <row r="69" spans="1:15" ht="15.95" customHeight="1" x14ac:dyDescent="0.2">
      <c r="A69" s="43" t="s">
        <v>113</v>
      </c>
      <c r="B69" s="31" t="s">
        <v>58</v>
      </c>
      <c r="C69" s="30">
        <v>7500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7500</v>
      </c>
      <c r="M69" s="30">
        <f>1450+300+750</f>
        <v>2500</v>
      </c>
      <c r="N69" s="30">
        <f t="shared" si="3"/>
        <v>5000</v>
      </c>
      <c r="O69" s="40">
        <f t="shared" si="9"/>
        <v>6.3593558973692945E-4</v>
      </c>
    </row>
    <row r="70" spans="1:15" ht="15.95" customHeight="1" x14ac:dyDescent="0.2">
      <c r="A70" s="43" t="s">
        <v>114</v>
      </c>
      <c r="B70" s="31" t="s">
        <v>174</v>
      </c>
      <c r="C70" s="30">
        <v>24540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24540</v>
      </c>
      <c r="M70" s="30"/>
      <c r="N70" s="30">
        <f t="shared" si="3"/>
        <v>24540</v>
      </c>
      <c r="O70" s="40">
        <f t="shared" si="9"/>
        <v>0</v>
      </c>
    </row>
    <row r="71" spans="1:15" ht="15.95" customHeight="1" x14ac:dyDescent="0.2">
      <c r="A71" s="43" t="s">
        <v>115</v>
      </c>
      <c r="B71" s="31" t="s">
        <v>175</v>
      </c>
      <c r="C71" s="30">
        <v>8000</v>
      </c>
      <c r="D71" s="30"/>
      <c r="E71" s="30"/>
      <c r="F71" s="46">
        <v>12500</v>
      </c>
      <c r="G71" s="46"/>
      <c r="H71" s="30"/>
      <c r="I71" s="30"/>
      <c r="J71" s="46"/>
      <c r="K71" s="46"/>
      <c r="L71" s="30">
        <f t="shared" si="6"/>
        <v>20500</v>
      </c>
      <c r="M71" s="30">
        <f>3300+500+2000</f>
        <v>5800</v>
      </c>
      <c r="N71" s="30">
        <f t="shared" si="3"/>
        <v>14700</v>
      </c>
      <c r="O71" s="40">
        <f t="shared" si="9"/>
        <v>1.4753705681896765E-3</v>
      </c>
    </row>
    <row r="72" spans="1:15" ht="15.95" customHeight="1" x14ac:dyDescent="0.2">
      <c r="A72" s="43" t="s">
        <v>116</v>
      </c>
      <c r="B72" s="31" t="s">
        <v>176</v>
      </c>
      <c r="C72" s="30">
        <v>8000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8000</v>
      </c>
      <c r="M72" s="30"/>
      <c r="N72" s="30">
        <f t="shared" si="3"/>
        <v>8000</v>
      </c>
      <c r="O72" s="40">
        <f t="shared" si="9"/>
        <v>0</v>
      </c>
    </row>
    <row r="73" spans="1:15" ht="15.95" customHeight="1" x14ac:dyDescent="0.2">
      <c r="A73" s="43" t="s">
        <v>117</v>
      </c>
      <c r="B73" s="31" t="s">
        <v>59</v>
      </c>
      <c r="C73" s="30">
        <v>681800</v>
      </c>
      <c r="D73" s="30"/>
      <c r="E73" s="30">
        <v>537000</v>
      </c>
      <c r="F73" s="46"/>
      <c r="G73" s="46">
        <v>130000</v>
      </c>
      <c r="H73" s="30"/>
      <c r="I73" s="30"/>
      <c r="J73" s="46"/>
      <c r="K73" s="46"/>
      <c r="L73" s="30">
        <f t="shared" si="6"/>
        <v>14800</v>
      </c>
      <c r="M73" s="30"/>
      <c r="N73" s="30">
        <f t="shared" si="3"/>
        <v>14800</v>
      </c>
      <c r="O73" s="40">
        <f t="shared" si="9"/>
        <v>0</v>
      </c>
    </row>
    <row r="74" spans="1:15" ht="15.95" customHeight="1" x14ac:dyDescent="0.2">
      <c r="A74" s="43" t="s">
        <v>118</v>
      </c>
      <c r="B74" s="31" t="s">
        <v>177</v>
      </c>
      <c r="C74" s="30">
        <v>8250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8250</v>
      </c>
      <c r="M74" s="30">
        <v>4758.1000000000004</v>
      </c>
      <c r="N74" s="30">
        <f t="shared" si="3"/>
        <v>3491.8999999999996</v>
      </c>
      <c r="O74" s="40">
        <f t="shared" si="9"/>
        <v>1.2103380518109137E-3</v>
      </c>
    </row>
    <row r="75" spans="1:15" ht="15.95" customHeight="1" x14ac:dyDescent="0.2">
      <c r="A75" s="43" t="s">
        <v>119</v>
      </c>
      <c r="B75" s="31" t="s">
        <v>178</v>
      </c>
      <c r="C75" s="30">
        <v>2500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2500</v>
      </c>
      <c r="M75" s="30">
        <f>832.11+110.36+50.36+50.35</f>
        <v>1043.18</v>
      </c>
      <c r="N75" s="30">
        <f t="shared" si="3"/>
        <v>1456.82</v>
      </c>
      <c r="O75" s="40">
        <f t="shared" si="9"/>
        <v>2.6535811540070802E-4</v>
      </c>
    </row>
    <row r="76" spans="1:15" ht="15.95" customHeight="1" x14ac:dyDescent="0.2">
      <c r="A76" s="43" t="s">
        <v>120</v>
      </c>
      <c r="B76" s="31" t="s">
        <v>60</v>
      </c>
      <c r="C76" s="30">
        <v>108251.07</v>
      </c>
      <c r="D76" s="30"/>
      <c r="E76" s="30"/>
      <c r="F76" s="46"/>
      <c r="G76" s="46">
        <v>90000</v>
      </c>
      <c r="H76" s="30"/>
      <c r="I76" s="30"/>
      <c r="J76" s="46"/>
      <c r="K76" s="46"/>
      <c r="L76" s="30">
        <f t="shared" si="6"/>
        <v>18251.070000000007</v>
      </c>
      <c r="M76" s="30">
        <v>335.5</v>
      </c>
      <c r="N76" s="30">
        <f t="shared" si="3"/>
        <v>17915.570000000007</v>
      </c>
      <c r="O76" s="40">
        <f t="shared" si="9"/>
        <v>8.5342556142695939E-5</v>
      </c>
    </row>
    <row r="77" spans="1:15" ht="15.95" customHeight="1" x14ac:dyDescent="0.2">
      <c r="A77" s="43" t="s">
        <v>121</v>
      </c>
      <c r="B77" s="31" t="s">
        <v>179</v>
      </c>
      <c r="C77" s="30">
        <v>2000</v>
      </c>
      <c r="D77" s="30"/>
      <c r="E77" s="30"/>
      <c r="F77" s="46">
        <v>48000</v>
      </c>
      <c r="G77" s="46"/>
      <c r="H77" s="30"/>
      <c r="I77" s="30"/>
      <c r="J77" s="46"/>
      <c r="K77" s="46"/>
      <c r="L77" s="30">
        <f t="shared" si="6"/>
        <v>50000</v>
      </c>
      <c r="M77" s="30"/>
      <c r="N77" s="30">
        <f t="shared" si="3"/>
        <v>50000</v>
      </c>
      <c r="O77" s="40">
        <f t="shared" si="9"/>
        <v>0</v>
      </c>
    </row>
    <row r="78" spans="1:15" ht="15.95" customHeight="1" x14ac:dyDescent="0.2">
      <c r="A78" s="43" t="s">
        <v>180</v>
      </c>
      <c r="B78" s="31" t="s">
        <v>153</v>
      </c>
      <c r="C78" s="30">
        <v>214100</v>
      </c>
      <c r="D78" s="30"/>
      <c r="E78" s="30">
        <v>168000</v>
      </c>
      <c r="F78" s="46"/>
      <c r="G78" s="46"/>
      <c r="H78" s="30"/>
      <c r="I78" s="30"/>
      <c r="J78" s="46"/>
      <c r="K78" s="46"/>
      <c r="L78" s="30">
        <f t="shared" si="6"/>
        <v>46100</v>
      </c>
      <c r="M78" s="30">
        <v>4282.4799999999996</v>
      </c>
      <c r="N78" s="30">
        <f t="shared" si="3"/>
        <v>41817.520000000004</v>
      </c>
      <c r="O78" s="40">
        <f t="shared" si="9"/>
        <v>1.0893525777346421E-3</v>
      </c>
    </row>
    <row r="79" spans="1:15" ht="15.95" customHeight="1" x14ac:dyDescent="0.2">
      <c r="A79" s="43" t="s">
        <v>122</v>
      </c>
      <c r="B79" s="31" t="s">
        <v>181</v>
      </c>
      <c r="C79" s="30">
        <v>121000</v>
      </c>
      <c r="D79" s="30"/>
      <c r="E79" s="30">
        <v>45000</v>
      </c>
      <c r="F79" s="46"/>
      <c r="G79" s="46">
        <v>50000</v>
      </c>
      <c r="H79" s="30"/>
      <c r="I79" s="30"/>
      <c r="J79" s="46"/>
      <c r="K79" s="46"/>
      <c r="L79" s="30">
        <f t="shared" si="6"/>
        <v>26000</v>
      </c>
      <c r="M79" s="30">
        <f>3360.5+1721.5+665+242.91</f>
        <v>5989.91</v>
      </c>
      <c r="N79" s="30">
        <f t="shared" si="3"/>
        <v>20010.09</v>
      </c>
      <c r="O79" s="40">
        <f t="shared" si="9"/>
        <v>1.5236787793284523E-3</v>
      </c>
    </row>
    <row r="80" spans="1:15" ht="15.95" customHeight="1" x14ac:dyDescent="0.2">
      <c r="A80" s="43"/>
      <c r="B80" s="31"/>
      <c r="C80" s="30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/>
      <c r="B81" s="31"/>
      <c r="C81" s="30"/>
      <c r="D81" s="30"/>
      <c r="E81" s="30"/>
      <c r="F81" s="46"/>
      <c r="G81" s="46"/>
      <c r="H81" s="30"/>
      <c r="I81" s="30"/>
      <c r="J81" s="46"/>
      <c r="K81" s="46"/>
      <c r="L81" s="30"/>
      <c r="M81" s="30"/>
      <c r="N81" s="30"/>
      <c r="O81" s="40"/>
    </row>
    <row r="82" spans="1:15" ht="15.95" customHeight="1" x14ac:dyDescent="0.25">
      <c r="A82" s="41">
        <v>2</v>
      </c>
      <c r="B82" s="42" t="s">
        <v>61</v>
      </c>
      <c r="C82" s="28"/>
      <c r="D82" s="30"/>
      <c r="E82" s="30"/>
      <c r="F82" s="46"/>
      <c r="G82" s="46"/>
      <c r="H82" s="30"/>
      <c r="I82" s="30"/>
      <c r="J82" s="46"/>
      <c r="K82" s="46"/>
      <c r="L82" s="30"/>
      <c r="M82" s="30"/>
      <c r="N82" s="30"/>
      <c r="O82" s="40"/>
    </row>
    <row r="83" spans="1:15" ht="15.95" customHeight="1" x14ac:dyDescent="0.2">
      <c r="A83" s="43" t="s">
        <v>123</v>
      </c>
      <c r="B83" s="31" t="s">
        <v>62</v>
      </c>
      <c r="C83" s="30">
        <v>114414.1</v>
      </c>
      <c r="D83" s="30"/>
      <c r="E83" s="30"/>
      <c r="F83" s="46">
        <v>32370</v>
      </c>
      <c r="G83" s="46"/>
      <c r="H83" s="30"/>
      <c r="I83" s="30"/>
      <c r="J83" s="46"/>
      <c r="K83" s="46"/>
      <c r="L83" s="30">
        <f t="shared" ref="L83:L119" si="10">C83+D83-E83+F83-G83+H83-I83+J83-K83</f>
        <v>146784.1</v>
      </c>
      <c r="M83" s="30">
        <f>12106.7+3124.1+5507.4+2335.55</f>
        <v>23073.75</v>
      </c>
      <c r="N83" s="30">
        <f t="shared" si="3"/>
        <v>123710.35</v>
      </c>
      <c r="O83" s="40">
        <f t="shared" ref="O83:O119" si="11">M83/$M$138</f>
        <v>5.8693675254769904E-3</v>
      </c>
    </row>
    <row r="84" spans="1:15" ht="15.95" hidden="1" customHeight="1" x14ac:dyDescent="0.2">
      <c r="A84" s="43">
        <v>214</v>
      </c>
      <c r="B84" s="31" t="s">
        <v>193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10"/>
        <v>0</v>
      </c>
      <c r="M84" s="30"/>
      <c r="N84" s="30">
        <f t="shared" si="3"/>
        <v>0</v>
      </c>
      <c r="O84" s="40">
        <f t="shared" si="11"/>
        <v>0</v>
      </c>
    </row>
    <row r="85" spans="1:15" ht="15.95" customHeight="1" x14ac:dyDescent="0.2">
      <c r="A85" s="43">
        <v>223</v>
      </c>
      <c r="B85" s="31" t="s">
        <v>194</v>
      </c>
      <c r="C85" s="30">
        <v>0</v>
      </c>
      <c r="D85" s="30"/>
      <c r="E85" s="30"/>
      <c r="F85" s="46"/>
      <c r="G85" s="46"/>
      <c r="H85" s="30"/>
      <c r="I85" s="30"/>
      <c r="J85" s="46"/>
      <c r="K85" s="46"/>
      <c r="L85" s="30">
        <f t="shared" si="10"/>
        <v>0</v>
      </c>
      <c r="M85" s="30"/>
      <c r="N85" s="30">
        <f t="shared" si="3"/>
        <v>0</v>
      </c>
      <c r="O85" s="40">
        <f t="shared" si="11"/>
        <v>0</v>
      </c>
    </row>
    <row r="86" spans="1:15" ht="15.95" hidden="1" customHeight="1" x14ac:dyDescent="0.2">
      <c r="A86" s="43">
        <v>229</v>
      </c>
      <c r="B86" s="31" t="s">
        <v>195</v>
      </c>
      <c r="C86" s="30"/>
      <c r="D86" s="30"/>
      <c r="E86" s="30"/>
      <c r="F86" s="46"/>
      <c r="G86" s="46"/>
      <c r="H86" s="30"/>
      <c r="I86" s="30"/>
      <c r="J86" s="46"/>
      <c r="K86" s="46"/>
      <c r="L86" s="30">
        <f t="shared" si="10"/>
        <v>0</v>
      </c>
      <c r="M86" s="30"/>
      <c r="N86" s="30">
        <f t="shared" si="3"/>
        <v>0</v>
      </c>
      <c r="O86" s="40">
        <f t="shared" si="11"/>
        <v>0</v>
      </c>
    </row>
    <row r="87" spans="1:15" ht="15.95" customHeight="1" x14ac:dyDescent="0.2">
      <c r="A87" s="43" t="s">
        <v>124</v>
      </c>
      <c r="B87" s="31" t="s">
        <v>63</v>
      </c>
      <c r="C87" s="30">
        <v>2750</v>
      </c>
      <c r="D87" s="30"/>
      <c r="E87" s="30"/>
      <c r="F87" s="46">
        <v>2250</v>
      </c>
      <c r="G87" s="46"/>
      <c r="H87" s="30"/>
      <c r="I87" s="30"/>
      <c r="J87" s="46"/>
      <c r="K87" s="46"/>
      <c r="L87" s="30">
        <f t="shared" si="10"/>
        <v>5000</v>
      </c>
      <c r="M87" s="30">
        <f>120+244.1</f>
        <v>364.1</v>
      </c>
      <c r="N87" s="30">
        <f t="shared" si="3"/>
        <v>4635.8999999999996</v>
      </c>
      <c r="O87" s="40">
        <f t="shared" si="11"/>
        <v>9.2617659289286411E-5</v>
      </c>
    </row>
    <row r="88" spans="1:15" ht="15.95" customHeight="1" x14ac:dyDescent="0.2">
      <c r="A88" s="43" t="s">
        <v>125</v>
      </c>
      <c r="B88" s="31" t="s">
        <v>64</v>
      </c>
      <c r="C88" s="30">
        <v>16800</v>
      </c>
      <c r="D88" s="30"/>
      <c r="E88" s="30"/>
      <c r="F88" s="46">
        <v>17000</v>
      </c>
      <c r="G88" s="46"/>
      <c r="H88" s="30"/>
      <c r="I88" s="30"/>
      <c r="J88" s="46"/>
      <c r="K88" s="46"/>
      <c r="L88" s="30">
        <f t="shared" si="10"/>
        <v>33800</v>
      </c>
      <c r="M88" s="30">
        <f>2040+9748.86+4600+6164</f>
        <v>22552.86</v>
      </c>
      <c r="N88" s="30">
        <f t="shared" si="3"/>
        <v>11247.14</v>
      </c>
      <c r="O88" s="40">
        <f t="shared" si="11"/>
        <v>5.7368665297417628E-3</v>
      </c>
    </row>
    <row r="89" spans="1:15" ht="15.95" customHeight="1" x14ac:dyDescent="0.2">
      <c r="A89" s="43" t="s">
        <v>126</v>
      </c>
      <c r="B89" s="31" t="s">
        <v>65</v>
      </c>
      <c r="C89" s="30">
        <v>5250</v>
      </c>
      <c r="D89" s="30"/>
      <c r="E89" s="30"/>
      <c r="F89" s="46"/>
      <c r="G89" s="46"/>
      <c r="H89" s="30"/>
      <c r="I89" s="30"/>
      <c r="J89" s="46"/>
      <c r="K89" s="46"/>
      <c r="L89" s="30">
        <f t="shared" si="10"/>
        <v>5250</v>
      </c>
      <c r="M89" s="30">
        <f>1040+391.6+286</f>
        <v>1717.6</v>
      </c>
      <c r="N89" s="30">
        <f t="shared" si="3"/>
        <v>3532.4</v>
      </c>
      <c r="O89" s="40">
        <f t="shared" si="11"/>
        <v>4.3691318757286E-4</v>
      </c>
    </row>
    <row r="90" spans="1:15" ht="15.95" customHeight="1" x14ac:dyDescent="0.2">
      <c r="A90" s="43" t="s">
        <v>127</v>
      </c>
      <c r="B90" s="31" t="s">
        <v>66</v>
      </c>
      <c r="C90" s="30">
        <v>5500</v>
      </c>
      <c r="D90" s="30"/>
      <c r="E90" s="30"/>
      <c r="F90" s="46"/>
      <c r="G90" s="46"/>
      <c r="H90" s="30"/>
      <c r="I90" s="30"/>
      <c r="J90" s="46"/>
      <c r="K90" s="46"/>
      <c r="L90" s="30">
        <f t="shared" si="10"/>
        <v>5500</v>
      </c>
      <c r="M90" s="30">
        <f>4623.57+1062.89+823.04+672.67</f>
        <v>7182.17</v>
      </c>
      <c r="N90" s="30">
        <f t="shared" si="3"/>
        <v>-1682.17</v>
      </c>
      <c r="O90" s="40">
        <f t="shared" si="11"/>
        <v>1.826959005816353E-3</v>
      </c>
    </row>
    <row r="91" spans="1:15" ht="15.95" customHeight="1" x14ac:dyDescent="0.2">
      <c r="A91" s="43" t="s">
        <v>128</v>
      </c>
      <c r="B91" s="31" t="s">
        <v>196</v>
      </c>
      <c r="C91" s="30">
        <v>3050</v>
      </c>
      <c r="D91" s="30"/>
      <c r="E91" s="30"/>
      <c r="F91" s="46"/>
      <c r="G91" s="46"/>
      <c r="H91" s="30"/>
      <c r="I91" s="30"/>
      <c r="J91" s="46"/>
      <c r="K91" s="46"/>
      <c r="L91" s="30">
        <f t="shared" si="10"/>
        <v>3050</v>
      </c>
      <c r="M91" s="30">
        <f>943.06+222.9</f>
        <v>1165.96</v>
      </c>
      <c r="N91" s="30">
        <f t="shared" si="3"/>
        <v>1884.04</v>
      </c>
      <c r="O91" s="40">
        <f t="shared" si="11"/>
        <v>2.9659018408386811E-4</v>
      </c>
    </row>
    <row r="92" spans="1:15" ht="15.95" customHeight="1" x14ac:dyDescent="0.2">
      <c r="A92" s="43" t="s">
        <v>129</v>
      </c>
      <c r="B92" s="31" t="s">
        <v>67</v>
      </c>
      <c r="C92" s="30">
        <v>875</v>
      </c>
      <c r="D92" s="30"/>
      <c r="E92" s="30"/>
      <c r="F92" s="46"/>
      <c r="G92" s="46"/>
      <c r="H92" s="30"/>
      <c r="I92" s="30"/>
      <c r="J92" s="46"/>
      <c r="K92" s="46"/>
      <c r="L92" s="30">
        <f t="shared" si="10"/>
        <v>875</v>
      </c>
      <c r="M92" s="30">
        <v>10</v>
      </c>
      <c r="N92" s="30">
        <f t="shared" si="3"/>
        <v>865</v>
      </c>
      <c r="O92" s="40">
        <f t="shared" si="11"/>
        <v>2.5437423589477177E-6</v>
      </c>
    </row>
    <row r="93" spans="1:15" ht="15.95" customHeight="1" x14ac:dyDescent="0.2">
      <c r="A93" s="43" t="s">
        <v>130</v>
      </c>
      <c r="B93" s="31" t="s">
        <v>197</v>
      </c>
      <c r="C93" s="30">
        <v>5500</v>
      </c>
      <c r="D93" s="30"/>
      <c r="E93" s="30"/>
      <c r="F93" s="46"/>
      <c r="G93" s="46"/>
      <c r="H93" s="30"/>
      <c r="I93" s="30"/>
      <c r="J93" s="46"/>
      <c r="K93" s="46"/>
      <c r="L93" s="30">
        <f t="shared" si="10"/>
        <v>5500</v>
      </c>
      <c r="M93" s="30"/>
      <c r="N93" s="30">
        <f t="shared" si="3"/>
        <v>5500</v>
      </c>
      <c r="O93" s="40">
        <f t="shared" si="11"/>
        <v>0</v>
      </c>
    </row>
    <row r="94" spans="1:15" ht="15.95" customHeight="1" x14ac:dyDescent="0.2">
      <c r="A94" s="43" t="s">
        <v>131</v>
      </c>
      <c r="B94" s="31" t="s">
        <v>68</v>
      </c>
      <c r="C94" s="30">
        <v>2700</v>
      </c>
      <c r="D94" s="30"/>
      <c r="E94" s="30"/>
      <c r="F94" s="46"/>
      <c r="G94" s="46"/>
      <c r="H94" s="30"/>
      <c r="I94" s="30"/>
      <c r="J94" s="46"/>
      <c r="K94" s="46"/>
      <c r="L94" s="30">
        <f t="shared" si="10"/>
        <v>2700</v>
      </c>
      <c r="M94" s="30">
        <v>95</v>
      </c>
      <c r="N94" s="30">
        <f t="shared" si="3"/>
        <v>2605</v>
      </c>
      <c r="O94" s="40">
        <f t="shared" si="11"/>
        <v>2.416555241000332E-5</v>
      </c>
    </row>
    <row r="95" spans="1:15" ht="15.95" customHeight="1" x14ac:dyDescent="0.2">
      <c r="A95" s="43" t="s">
        <v>198</v>
      </c>
      <c r="B95" s="31" t="s">
        <v>199</v>
      </c>
      <c r="C95" s="30">
        <v>2800</v>
      </c>
      <c r="D95" s="30"/>
      <c r="E95" s="30"/>
      <c r="F95" s="46"/>
      <c r="G95" s="46"/>
      <c r="H95" s="30"/>
      <c r="I95" s="30"/>
      <c r="J95" s="46"/>
      <c r="K95" s="46"/>
      <c r="L95" s="30">
        <f t="shared" si="10"/>
        <v>2800</v>
      </c>
      <c r="M95" s="30">
        <v>75</v>
      </c>
      <c r="N95" s="30">
        <f t="shared" si="3"/>
        <v>2725</v>
      </c>
      <c r="O95" s="40">
        <f t="shared" si="11"/>
        <v>1.9078067692107883E-5</v>
      </c>
    </row>
    <row r="96" spans="1:15" ht="15.95" customHeight="1" x14ac:dyDescent="0.2">
      <c r="A96" s="43" t="s">
        <v>132</v>
      </c>
      <c r="B96" s="31" t="s">
        <v>69</v>
      </c>
      <c r="C96" s="30">
        <v>8500</v>
      </c>
      <c r="D96" s="30"/>
      <c r="E96" s="30"/>
      <c r="F96" s="46"/>
      <c r="G96" s="46"/>
      <c r="H96" s="30"/>
      <c r="I96" s="30"/>
      <c r="J96" s="46"/>
      <c r="K96" s="46"/>
      <c r="L96" s="30">
        <f t="shared" si="10"/>
        <v>8500</v>
      </c>
      <c r="M96" s="30">
        <f>2322.82+495+405+679</f>
        <v>3901.82</v>
      </c>
      <c r="N96" s="30">
        <f t="shared" si="3"/>
        <v>4598.18</v>
      </c>
      <c r="O96" s="40">
        <f t="shared" si="11"/>
        <v>9.9252248109893849E-4</v>
      </c>
    </row>
    <row r="97" spans="1:15" ht="15.95" customHeight="1" x14ac:dyDescent="0.2">
      <c r="A97" s="43" t="s">
        <v>133</v>
      </c>
      <c r="B97" s="31" t="s">
        <v>200</v>
      </c>
      <c r="C97" s="30">
        <v>6000</v>
      </c>
      <c r="D97" s="30"/>
      <c r="E97" s="30"/>
      <c r="F97" s="46"/>
      <c r="G97" s="46"/>
      <c r="H97" s="30"/>
      <c r="I97" s="30"/>
      <c r="J97" s="46"/>
      <c r="K97" s="46"/>
      <c r="L97" s="30">
        <f t="shared" si="10"/>
        <v>6000</v>
      </c>
      <c r="M97" s="30">
        <f>471.93+109.99+159</f>
        <v>740.92</v>
      </c>
      <c r="N97" s="30">
        <f t="shared" si="3"/>
        <v>5259.08</v>
      </c>
      <c r="O97" s="40">
        <f t="shared" si="11"/>
        <v>1.8847095885915431E-4</v>
      </c>
    </row>
    <row r="98" spans="1:15" ht="15.95" customHeight="1" x14ac:dyDescent="0.2">
      <c r="A98" s="43" t="s">
        <v>134</v>
      </c>
      <c r="B98" s="31" t="s">
        <v>70</v>
      </c>
      <c r="C98" s="30">
        <v>17500</v>
      </c>
      <c r="D98" s="30"/>
      <c r="E98" s="30"/>
      <c r="F98" s="46"/>
      <c r="G98" s="46"/>
      <c r="H98" s="30"/>
      <c r="I98" s="30"/>
      <c r="J98" s="46"/>
      <c r="K98" s="46"/>
      <c r="L98" s="30">
        <f t="shared" si="10"/>
        <v>17500</v>
      </c>
      <c r="M98" s="30">
        <f>2862.9+105+1058.85</f>
        <v>4026.75</v>
      </c>
      <c r="N98" s="30">
        <f t="shared" si="3"/>
        <v>13473.25</v>
      </c>
      <c r="O98" s="40">
        <f t="shared" si="11"/>
        <v>1.0243014543892723E-3</v>
      </c>
    </row>
    <row r="99" spans="1:15" ht="15.95" customHeight="1" x14ac:dyDescent="0.2">
      <c r="A99" s="43" t="s">
        <v>135</v>
      </c>
      <c r="B99" s="31" t="s">
        <v>201</v>
      </c>
      <c r="C99" s="30">
        <v>3000</v>
      </c>
      <c r="D99" s="30"/>
      <c r="E99" s="30"/>
      <c r="F99" s="46"/>
      <c r="G99" s="46"/>
      <c r="H99" s="30"/>
      <c r="I99" s="30"/>
      <c r="J99" s="46"/>
      <c r="K99" s="46"/>
      <c r="L99" s="30">
        <f t="shared" si="10"/>
        <v>3000</v>
      </c>
      <c r="M99" s="30">
        <f>750.06+85</f>
        <v>835.06</v>
      </c>
      <c r="N99" s="30">
        <f t="shared" si="3"/>
        <v>2164.94</v>
      </c>
      <c r="O99" s="40">
        <f t="shared" si="11"/>
        <v>2.1241774942628813E-4</v>
      </c>
    </row>
    <row r="100" spans="1:15" ht="15.95" customHeight="1" x14ac:dyDescent="0.2">
      <c r="A100" s="43" t="s">
        <v>136</v>
      </c>
      <c r="B100" s="31" t="s">
        <v>202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10"/>
        <v>1500</v>
      </c>
      <c r="M100" s="30">
        <v>189.9</v>
      </c>
      <c r="N100" s="30">
        <f t="shared" ref="N100:N137" si="12">L100-M100</f>
        <v>1310.0999999999999</v>
      </c>
      <c r="O100" s="40">
        <f t="shared" si="11"/>
        <v>4.8305667396417163E-5</v>
      </c>
    </row>
    <row r="101" spans="1:15" ht="15.95" customHeight="1" x14ac:dyDescent="0.2">
      <c r="A101" s="43" t="s">
        <v>137</v>
      </c>
      <c r="B101" s="31" t="s">
        <v>71</v>
      </c>
      <c r="C101" s="30">
        <v>210345</v>
      </c>
      <c r="D101" s="30"/>
      <c r="E101" s="30"/>
      <c r="F101" s="46"/>
      <c r="G101" s="46">
        <v>160000</v>
      </c>
      <c r="H101" s="30"/>
      <c r="I101" s="30"/>
      <c r="J101" s="46"/>
      <c r="K101" s="46"/>
      <c r="L101" s="30">
        <f t="shared" si="10"/>
        <v>50345</v>
      </c>
      <c r="M101" s="30"/>
      <c r="N101" s="30">
        <f t="shared" si="12"/>
        <v>50345</v>
      </c>
      <c r="O101" s="40">
        <f t="shared" si="11"/>
        <v>0</v>
      </c>
    </row>
    <row r="102" spans="1:15" ht="15.95" customHeight="1" x14ac:dyDescent="0.2">
      <c r="A102" s="43">
        <v>272</v>
      </c>
      <c r="B102" s="31" t="s">
        <v>203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10"/>
        <v>0</v>
      </c>
      <c r="M102" s="30"/>
      <c r="N102" s="30">
        <f t="shared" si="12"/>
        <v>0</v>
      </c>
      <c r="O102" s="40">
        <f t="shared" si="11"/>
        <v>0</v>
      </c>
    </row>
    <row r="103" spans="1:15" ht="15.95" customHeight="1" x14ac:dyDescent="0.2">
      <c r="A103" s="43" t="s">
        <v>138</v>
      </c>
      <c r="B103" s="31" t="s">
        <v>204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10"/>
        <v>0</v>
      </c>
      <c r="M103" s="30"/>
      <c r="N103" s="30">
        <f t="shared" si="12"/>
        <v>0</v>
      </c>
      <c r="O103" s="40">
        <f t="shared" si="11"/>
        <v>0</v>
      </c>
    </row>
    <row r="104" spans="1:15" ht="15.95" customHeight="1" x14ac:dyDescent="0.2">
      <c r="A104" s="43">
        <v>274</v>
      </c>
      <c r="B104" s="31" t="s">
        <v>72</v>
      </c>
      <c r="C104" s="30">
        <v>1500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10"/>
        <v>1500</v>
      </c>
      <c r="M104" s="30">
        <f>158+237.75</f>
        <v>395.75</v>
      </c>
      <c r="N104" s="30">
        <f t="shared" si="12"/>
        <v>1104.25</v>
      </c>
      <c r="O104" s="40">
        <f t="shared" si="11"/>
        <v>1.0066860385535593E-4</v>
      </c>
    </row>
    <row r="105" spans="1:15" ht="15.95" customHeight="1" x14ac:dyDescent="0.2">
      <c r="A105" s="43">
        <v>275</v>
      </c>
      <c r="B105" s="31" t="s">
        <v>205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10"/>
        <v>0</v>
      </c>
      <c r="M105" s="30"/>
      <c r="N105" s="30">
        <f t="shared" si="12"/>
        <v>0</v>
      </c>
      <c r="O105" s="40">
        <f t="shared" si="11"/>
        <v>0</v>
      </c>
    </row>
    <row r="106" spans="1:15" ht="15.95" customHeight="1" x14ac:dyDescent="0.2">
      <c r="A106" s="43">
        <v>279</v>
      </c>
      <c r="B106" s="31" t="s">
        <v>206</v>
      </c>
      <c r="C106" s="30">
        <v>750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10"/>
        <v>750</v>
      </c>
      <c r="M106" s="30"/>
      <c r="N106" s="30">
        <f t="shared" si="12"/>
        <v>750</v>
      </c>
      <c r="O106" s="40">
        <f t="shared" si="11"/>
        <v>0</v>
      </c>
    </row>
    <row r="107" spans="1:15" ht="15.95" customHeight="1" x14ac:dyDescent="0.2">
      <c r="A107" s="43">
        <v>281</v>
      </c>
      <c r="B107" s="31" t="s">
        <v>207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10"/>
        <v>0</v>
      </c>
      <c r="M107" s="30"/>
      <c r="N107" s="30">
        <f t="shared" si="12"/>
        <v>0</v>
      </c>
      <c r="O107" s="40">
        <f t="shared" si="11"/>
        <v>0</v>
      </c>
    </row>
    <row r="108" spans="1:15" ht="15.95" customHeight="1" x14ac:dyDescent="0.2">
      <c r="A108" s="43" t="s">
        <v>139</v>
      </c>
      <c r="B108" s="31" t="s">
        <v>208</v>
      </c>
      <c r="C108" s="30">
        <v>1800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10"/>
        <v>1800</v>
      </c>
      <c r="M108" s="30">
        <f>683+429.15+300</f>
        <v>1412.15</v>
      </c>
      <c r="N108" s="30">
        <f t="shared" si="12"/>
        <v>387.84999999999991</v>
      </c>
      <c r="O108" s="40">
        <f t="shared" si="11"/>
        <v>3.5921457721880201E-4</v>
      </c>
    </row>
    <row r="109" spans="1:15" ht="15.95" customHeight="1" x14ac:dyDescent="0.2">
      <c r="A109" s="43" t="s">
        <v>140</v>
      </c>
      <c r="B109" s="31" t="s">
        <v>73</v>
      </c>
      <c r="C109" s="30">
        <f>8800+100000</f>
        <v>108800</v>
      </c>
      <c r="D109" s="30"/>
      <c r="E109" s="30"/>
      <c r="F109" s="46"/>
      <c r="G109" s="46">
        <v>80000</v>
      </c>
      <c r="H109" s="30"/>
      <c r="I109" s="30"/>
      <c r="J109" s="46"/>
      <c r="K109" s="46"/>
      <c r="L109" s="30">
        <f t="shared" si="10"/>
        <v>28800</v>
      </c>
      <c r="M109" s="30"/>
      <c r="N109" s="30">
        <f t="shared" si="12"/>
        <v>28800</v>
      </c>
      <c r="O109" s="40">
        <f t="shared" si="11"/>
        <v>0</v>
      </c>
    </row>
    <row r="110" spans="1:15" ht="15.95" customHeight="1" x14ac:dyDescent="0.2">
      <c r="A110" s="43" t="s">
        <v>141</v>
      </c>
      <c r="B110" s="31" t="s">
        <v>74</v>
      </c>
      <c r="C110" s="30">
        <v>800821.67999999993</v>
      </c>
      <c r="D110" s="30"/>
      <c r="E110" s="30"/>
      <c r="F110" s="46">
        <v>65000</v>
      </c>
      <c r="G110" s="46"/>
      <c r="H110" s="30"/>
      <c r="I110" s="30"/>
      <c r="J110" s="46"/>
      <c r="K110" s="46"/>
      <c r="L110" s="30">
        <f t="shared" si="10"/>
        <v>865821.67999999993</v>
      </c>
      <c r="M110" s="30">
        <f>11700+765525.48+7000</f>
        <v>784225.48</v>
      </c>
      <c r="N110" s="30">
        <f t="shared" si="12"/>
        <v>81596.199999999953</v>
      </c>
      <c r="O110" s="40">
        <f t="shared" si="11"/>
        <v>0.19948675724421064</v>
      </c>
    </row>
    <row r="111" spans="1:15" ht="15.95" customHeight="1" x14ac:dyDescent="0.2">
      <c r="A111" s="43">
        <v>286</v>
      </c>
      <c r="B111" s="31" t="s">
        <v>209</v>
      </c>
      <c r="C111" s="30">
        <v>1500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10"/>
        <v>1500</v>
      </c>
      <c r="M111" s="30">
        <f>75+110</f>
        <v>185</v>
      </c>
      <c r="N111" s="30">
        <f t="shared" si="12"/>
        <v>1315</v>
      </c>
      <c r="O111" s="40">
        <f t="shared" si="11"/>
        <v>4.7059233640532781E-5</v>
      </c>
    </row>
    <row r="112" spans="1:15" ht="15.95" customHeight="1" x14ac:dyDescent="0.2">
      <c r="A112" s="43">
        <v>289</v>
      </c>
      <c r="B112" s="31" t="s">
        <v>210</v>
      </c>
      <c r="C112" s="30"/>
      <c r="D112" s="30"/>
      <c r="E112" s="30"/>
      <c r="F112" s="46"/>
      <c r="G112" s="46"/>
      <c r="H112" s="30"/>
      <c r="I112" s="30"/>
      <c r="J112" s="46"/>
      <c r="K112" s="46"/>
      <c r="L112" s="30">
        <f t="shared" si="10"/>
        <v>0</v>
      </c>
      <c r="M112" s="30"/>
      <c r="N112" s="30">
        <f t="shared" si="12"/>
        <v>0</v>
      </c>
      <c r="O112" s="40">
        <f t="shared" si="11"/>
        <v>0</v>
      </c>
    </row>
    <row r="113" spans="1:15" ht="15.95" customHeight="1" x14ac:dyDescent="0.2">
      <c r="A113" s="43" t="s">
        <v>142</v>
      </c>
      <c r="B113" s="31" t="s">
        <v>75</v>
      </c>
      <c r="C113" s="30">
        <v>6600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10"/>
        <v>6600</v>
      </c>
      <c r="M113" s="30">
        <f>823.3+8.8+78.9+17.8</f>
        <v>928.79999999999984</v>
      </c>
      <c r="N113" s="30">
        <f t="shared" si="12"/>
        <v>5671.2</v>
      </c>
      <c r="O113" s="40">
        <f t="shared" si="11"/>
        <v>2.3626279029906401E-4</v>
      </c>
    </row>
    <row r="114" spans="1:15" ht="15.95" customHeight="1" x14ac:dyDescent="0.2">
      <c r="A114" s="43" t="s">
        <v>143</v>
      </c>
      <c r="B114" s="31" t="s">
        <v>211</v>
      </c>
      <c r="C114" s="30">
        <v>2000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10"/>
        <v>2000</v>
      </c>
      <c r="M114" s="30">
        <f>874.51+529.06+89.99+39.5</f>
        <v>1533.06</v>
      </c>
      <c r="N114" s="30">
        <f t="shared" si="12"/>
        <v>466.94000000000005</v>
      </c>
      <c r="O114" s="40">
        <f t="shared" si="11"/>
        <v>3.8997096608083882E-4</v>
      </c>
    </row>
    <row r="115" spans="1:15" ht="15.95" customHeight="1" x14ac:dyDescent="0.2">
      <c r="A115" s="43" t="s">
        <v>144</v>
      </c>
      <c r="B115" s="31" t="s">
        <v>76</v>
      </c>
      <c r="C115" s="30">
        <v>115251.9</v>
      </c>
      <c r="D115" s="30"/>
      <c r="E115" s="30"/>
      <c r="F115" s="46"/>
      <c r="G115" s="46">
        <v>90000</v>
      </c>
      <c r="H115" s="30"/>
      <c r="I115" s="30"/>
      <c r="J115" s="46"/>
      <c r="K115" s="46"/>
      <c r="L115" s="30">
        <f t="shared" si="10"/>
        <v>25251.899999999994</v>
      </c>
      <c r="M115" s="30">
        <v>1980</v>
      </c>
      <c r="N115" s="30">
        <f t="shared" si="12"/>
        <v>23271.899999999994</v>
      </c>
      <c r="O115" s="40">
        <f t="shared" si="11"/>
        <v>5.0366098707164812E-4</v>
      </c>
    </row>
    <row r="116" spans="1:15" ht="15.95" customHeight="1" x14ac:dyDescent="0.2">
      <c r="A116" s="43" t="s">
        <v>145</v>
      </c>
      <c r="B116" s="31" t="s">
        <v>77</v>
      </c>
      <c r="C116" s="30">
        <v>2000</v>
      </c>
      <c r="D116" s="30"/>
      <c r="E116" s="30"/>
      <c r="F116" s="46"/>
      <c r="G116" s="46"/>
      <c r="H116" s="30"/>
      <c r="I116" s="30"/>
      <c r="J116" s="46"/>
      <c r="K116" s="46"/>
      <c r="L116" s="30">
        <f t="shared" si="10"/>
        <v>2000</v>
      </c>
      <c r="M116" s="30">
        <v>628.95000000000005</v>
      </c>
      <c r="N116" s="30">
        <f t="shared" si="12"/>
        <v>1371.05</v>
      </c>
      <c r="O116" s="40">
        <f t="shared" si="11"/>
        <v>1.5998867566601672E-4</v>
      </c>
    </row>
    <row r="117" spans="1:15" ht="15.95" customHeight="1" x14ac:dyDescent="0.2">
      <c r="A117" s="43" t="s">
        <v>146</v>
      </c>
      <c r="B117" s="31" t="s">
        <v>212</v>
      </c>
      <c r="C117" s="30">
        <v>9500</v>
      </c>
      <c r="D117" s="30"/>
      <c r="E117" s="30"/>
      <c r="F117" s="46"/>
      <c r="G117" s="46"/>
      <c r="H117" s="30"/>
      <c r="I117" s="30"/>
      <c r="J117" s="46"/>
      <c r="K117" s="46"/>
      <c r="L117" s="30">
        <f t="shared" si="10"/>
        <v>9500</v>
      </c>
      <c r="M117" s="30">
        <f>104+442+660</f>
        <v>1206</v>
      </c>
      <c r="N117" s="30">
        <f t="shared" si="12"/>
        <v>8294</v>
      </c>
      <c r="O117" s="40">
        <f t="shared" si="11"/>
        <v>3.0677532848909477E-4</v>
      </c>
    </row>
    <row r="118" spans="1:15" ht="15.95" customHeight="1" x14ac:dyDescent="0.2">
      <c r="A118" s="43" t="s">
        <v>147</v>
      </c>
      <c r="B118" s="31" t="s">
        <v>78</v>
      </c>
      <c r="C118" s="30">
        <v>101000</v>
      </c>
      <c r="D118" s="30"/>
      <c r="E118" s="30"/>
      <c r="F118" s="46"/>
      <c r="G118" s="46">
        <v>25000</v>
      </c>
      <c r="H118" s="30"/>
      <c r="I118" s="30"/>
      <c r="J118" s="46"/>
      <c r="K118" s="46"/>
      <c r="L118" s="30">
        <f t="shared" si="10"/>
        <v>76000</v>
      </c>
      <c r="M118" s="30">
        <f>819.13+346.18</f>
        <v>1165.31</v>
      </c>
      <c r="N118" s="30">
        <f t="shared" si="12"/>
        <v>74834.69</v>
      </c>
      <c r="O118" s="40">
        <f t="shared" si="11"/>
        <v>2.9642484083053648E-4</v>
      </c>
    </row>
    <row r="119" spans="1:15" ht="15.95" customHeight="1" x14ac:dyDescent="0.2">
      <c r="A119" s="43" t="s">
        <v>148</v>
      </c>
      <c r="B119" s="31" t="s">
        <v>79</v>
      </c>
      <c r="C119" s="30">
        <v>7500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si="10"/>
        <v>7500</v>
      </c>
      <c r="M119" s="30">
        <f>2520.4+25+1115.92+622.97</f>
        <v>4284.29</v>
      </c>
      <c r="N119" s="30">
        <f t="shared" si="12"/>
        <v>3215.71</v>
      </c>
      <c r="O119" s="40">
        <f t="shared" si="11"/>
        <v>1.0898129951016119E-3</v>
      </c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">
      <c r="A121" s="43"/>
      <c r="B121" s="31"/>
      <c r="C121" s="30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3"/>
      <c r="B122" s="31"/>
      <c r="C122" s="30"/>
      <c r="D122" s="30"/>
      <c r="E122" s="30"/>
      <c r="F122" s="46"/>
      <c r="G122" s="46"/>
      <c r="H122" s="30"/>
      <c r="I122" s="30"/>
      <c r="J122" s="46"/>
      <c r="K122" s="46"/>
      <c r="L122" s="30"/>
      <c r="M122" s="30"/>
      <c r="N122" s="30"/>
      <c r="O122" s="40"/>
    </row>
    <row r="123" spans="1:15" ht="15.95" customHeight="1" x14ac:dyDescent="0.25">
      <c r="A123" s="41">
        <v>3</v>
      </c>
      <c r="B123" s="42" t="s">
        <v>80</v>
      </c>
      <c r="C123" s="28"/>
      <c r="D123" s="30"/>
      <c r="E123" s="30"/>
      <c r="F123" s="46"/>
      <c r="G123" s="46"/>
      <c r="H123" s="30"/>
      <c r="I123" s="30"/>
      <c r="J123" s="46"/>
      <c r="K123" s="46"/>
      <c r="L123" s="30"/>
      <c r="M123" s="30"/>
      <c r="N123" s="30"/>
      <c r="O123" s="40"/>
    </row>
    <row r="124" spans="1:15" ht="15.95" customHeight="1" x14ac:dyDescent="0.2">
      <c r="A124" s="44" t="s">
        <v>213</v>
      </c>
      <c r="B124" s="45" t="s">
        <v>214</v>
      </c>
      <c r="C124" s="46">
        <v>10000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ref="L124:L137" si="13">C124+D124-E124+F124-G124+J124-K124</f>
        <v>10000</v>
      </c>
      <c r="M124" s="30">
        <v>2484</v>
      </c>
      <c r="N124" s="30">
        <f t="shared" si="12"/>
        <v>7516</v>
      </c>
      <c r="O124" s="40">
        <f>M124/$M$138</f>
        <v>6.3186560196261312E-4</v>
      </c>
    </row>
    <row r="125" spans="1:15" ht="15.95" customHeight="1" x14ac:dyDescent="0.2">
      <c r="A125" s="44" t="s">
        <v>81</v>
      </c>
      <c r="B125" s="45" t="s">
        <v>215</v>
      </c>
      <c r="C125" s="46">
        <v>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3"/>
        <v>0</v>
      </c>
      <c r="M125" s="30"/>
      <c r="N125" s="30">
        <f t="shared" si="12"/>
        <v>0</v>
      </c>
      <c r="O125" s="40">
        <f>M125/$M$138</f>
        <v>0</v>
      </c>
    </row>
    <row r="126" spans="1:15" ht="15.95" customHeight="1" x14ac:dyDescent="0.2">
      <c r="A126" s="44" t="s">
        <v>216</v>
      </c>
      <c r="B126" s="45" t="s">
        <v>217</v>
      </c>
      <c r="C126" s="46">
        <v>54035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3"/>
        <v>54035</v>
      </c>
      <c r="M126" s="30"/>
      <c r="N126" s="30">
        <f t="shared" si="12"/>
        <v>54035</v>
      </c>
      <c r="O126" s="40">
        <f>M126/$M$138</f>
        <v>0</v>
      </c>
    </row>
    <row r="127" spans="1:15" ht="15.95" customHeight="1" x14ac:dyDescent="0.2">
      <c r="A127" s="44" t="s">
        <v>218</v>
      </c>
      <c r="B127" s="45" t="s">
        <v>219</v>
      </c>
      <c r="C127" s="46">
        <v>1500</v>
      </c>
      <c r="D127" s="30"/>
      <c r="E127" s="30"/>
      <c r="F127" s="46"/>
      <c r="G127" s="46"/>
      <c r="H127" s="30"/>
      <c r="I127" s="30"/>
      <c r="J127" s="46"/>
      <c r="K127" s="46"/>
      <c r="L127" s="30">
        <f t="shared" si="13"/>
        <v>1500</v>
      </c>
      <c r="M127" s="30"/>
      <c r="N127" s="30">
        <f t="shared" si="12"/>
        <v>1500</v>
      </c>
      <c r="O127" s="40">
        <f>M127/$M$138</f>
        <v>0</v>
      </c>
    </row>
    <row r="128" spans="1:15" ht="15.95" customHeight="1" x14ac:dyDescent="0.2">
      <c r="A128" s="44">
        <v>328</v>
      </c>
      <c r="B128" s="45" t="s">
        <v>238</v>
      </c>
      <c r="C128" s="46">
        <f>15000+15000</f>
        <v>30000</v>
      </c>
      <c r="D128" s="30"/>
      <c r="E128" s="30"/>
      <c r="F128" s="46">
        <v>10000</v>
      </c>
      <c r="G128" s="46"/>
      <c r="H128" s="30"/>
      <c r="I128" s="30"/>
      <c r="J128" s="46"/>
      <c r="K128" s="46"/>
      <c r="L128" s="30">
        <f t="shared" si="13"/>
        <v>40000</v>
      </c>
      <c r="M128" s="30">
        <f>9990+14449</f>
        <v>24439</v>
      </c>
      <c r="N128" s="30">
        <f t="shared" si="12"/>
        <v>15561</v>
      </c>
      <c r="O128" s="40">
        <f>+M128/M138</f>
        <v>6.2166519510323277E-3</v>
      </c>
    </row>
    <row r="129" spans="1:15" ht="15.95" customHeight="1" x14ac:dyDescent="0.2">
      <c r="A129" s="44" t="s">
        <v>220</v>
      </c>
      <c r="B129" s="45" t="s">
        <v>221</v>
      </c>
      <c r="C129" s="46">
        <v>14300</v>
      </c>
      <c r="D129" s="30"/>
      <c r="E129" s="30"/>
      <c r="F129" s="46"/>
      <c r="G129" s="46"/>
      <c r="H129" s="30"/>
      <c r="I129" s="30"/>
      <c r="J129" s="46"/>
      <c r="K129" s="46"/>
      <c r="L129" s="30">
        <f t="shared" si="13"/>
        <v>14300</v>
      </c>
      <c r="M129" s="30">
        <v>9256</v>
      </c>
      <c r="N129" s="30">
        <f t="shared" si="12"/>
        <v>5044</v>
      </c>
      <c r="O129" s="40">
        <f>M129/$M$138</f>
        <v>2.3544879274420075E-3</v>
      </c>
    </row>
    <row r="130" spans="1:15" ht="15.95" customHeight="1" x14ac:dyDescent="0.2">
      <c r="A130" s="44" t="s">
        <v>222</v>
      </c>
      <c r="B130" s="45" t="s">
        <v>223</v>
      </c>
      <c r="C130" s="46">
        <v>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3"/>
        <v>0</v>
      </c>
      <c r="M130" s="30"/>
      <c r="N130" s="30">
        <f t="shared" si="12"/>
        <v>0</v>
      </c>
      <c r="O130" s="40">
        <f>M130/$M$138</f>
        <v>0</v>
      </c>
    </row>
    <row r="131" spans="1:15" ht="15.95" customHeight="1" x14ac:dyDescent="0.2">
      <c r="A131" s="44"/>
      <c r="B131" s="45"/>
      <c r="C131" s="46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/>
      <c r="B132" s="31"/>
      <c r="C132" s="30"/>
      <c r="D132" s="30"/>
      <c r="E132" s="30"/>
      <c r="F132" s="46"/>
      <c r="G132" s="46"/>
      <c r="H132" s="30"/>
      <c r="I132" s="30"/>
      <c r="J132" s="46"/>
      <c r="K132" s="46"/>
      <c r="L132" s="30"/>
      <c r="M132" s="30"/>
      <c r="N132" s="30"/>
      <c r="O132" s="40"/>
    </row>
    <row r="133" spans="1:15" ht="15.95" customHeight="1" x14ac:dyDescent="0.25">
      <c r="A133" s="41">
        <v>4</v>
      </c>
      <c r="B133" s="42" t="s">
        <v>82</v>
      </c>
      <c r="C133" s="28"/>
      <c r="D133" s="30"/>
      <c r="E133" s="30"/>
      <c r="F133" s="46"/>
      <c r="G133" s="46"/>
      <c r="H133" s="30"/>
      <c r="I133" s="30"/>
      <c r="J133" s="46"/>
      <c r="K133" s="46"/>
      <c r="L133" s="30"/>
      <c r="M133" s="30"/>
      <c r="N133" s="30"/>
      <c r="O133" s="40"/>
    </row>
    <row r="134" spans="1:15" ht="15.95" customHeight="1" x14ac:dyDescent="0.2">
      <c r="A134" s="43" t="s">
        <v>224</v>
      </c>
      <c r="B134" s="31" t="s">
        <v>83</v>
      </c>
      <c r="C134" s="30">
        <v>140900</v>
      </c>
      <c r="D134" s="30">
        <v>45000</v>
      </c>
      <c r="E134" s="30"/>
      <c r="F134" s="46"/>
      <c r="G134" s="46"/>
      <c r="H134" s="30"/>
      <c r="I134" s="30"/>
      <c r="J134" s="46"/>
      <c r="K134" s="46"/>
      <c r="L134" s="30">
        <f t="shared" si="13"/>
        <v>185900</v>
      </c>
      <c r="M134" s="30">
        <v>22230.83</v>
      </c>
      <c r="N134" s="30">
        <f t="shared" si="12"/>
        <v>163669.16999999998</v>
      </c>
      <c r="O134" s="40">
        <f>M134/$M$138</f>
        <v>5.6549503945565703E-3</v>
      </c>
    </row>
    <row r="135" spans="1:15" ht="15.95" customHeight="1" x14ac:dyDescent="0.2">
      <c r="A135" s="43" t="s">
        <v>225</v>
      </c>
      <c r="B135" s="31" t="s">
        <v>226</v>
      </c>
      <c r="C135" s="30">
        <v>7170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3"/>
        <v>7170</v>
      </c>
      <c r="M135" s="30">
        <v>1208</v>
      </c>
      <c r="N135" s="30">
        <f t="shared" si="12"/>
        <v>5962</v>
      </c>
      <c r="O135" s="40">
        <f>M135/$M$138</f>
        <v>3.0728407696088434E-4</v>
      </c>
    </row>
    <row r="136" spans="1:15" ht="15.95" customHeight="1" x14ac:dyDescent="0.2">
      <c r="A136" s="43" t="s">
        <v>227</v>
      </c>
      <c r="B136" s="31" t="s">
        <v>228</v>
      </c>
      <c r="C136" s="30">
        <v>163700</v>
      </c>
      <c r="D136" s="30"/>
      <c r="E136" s="30"/>
      <c r="F136" s="30"/>
      <c r="G136" s="30"/>
      <c r="H136" s="30"/>
      <c r="I136" s="30"/>
      <c r="J136" s="46"/>
      <c r="K136" s="46"/>
      <c r="L136" s="30">
        <f t="shared" si="13"/>
        <v>163700</v>
      </c>
      <c r="M136" s="30">
        <f>92605.72+1600+1600+1600</f>
        <v>97405.72</v>
      </c>
      <c r="N136" s="30">
        <f t="shared" si="12"/>
        <v>66294.28</v>
      </c>
      <c r="O136" s="40">
        <f>M136/$M$138</f>
        <v>2.4777505596780089E-2</v>
      </c>
    </row>
    <row r="137" spans="1:15" ht="15.95" customHeight="1" thickBot="1" x14ac:dyDescent="0.25">
      <c r="A137" s="43" t="s">
        <v>229</v>
      </c>
      <c r="B137" s="31" t="s">
        <v>230</v>
      </c>
      <c r="C137" s="30">
        <v>8750</v>
      </c>
      <c r="D137" s="30"/>
      <c r="E137" s="30"/>
      <c r="F137" s="30"/>
      <c r="G137" s="30"/>
      <c r="H137" s="30"/>
      <c r="I137" s="30"/>
      <c r="J137" s="46"/>
      <c r="K137" s="46"/>
      <c r="L137" s="30">
        <f t="shared" si="13"/>
        <v>8750</v>
      </c>
      <c r="M137" s="30"/>
      <c r="N137" s="30">
        <f t="shared" si="12"/>
        <v>8750</v>
      </c>
      <c r="O137" s="40">
        <f>M137/$M$138</f>
        <v>0</v>
      </c>
    </row>
    <row r="138" spans="1:15" ht="18" customHeight="1" thickBot="1" x14ac:dyDescent="0.3">
      <c r="A138" s="34"/>
      <c r="B138" s="35" t="s">
        <v>92</v>
      </c>
      <c r="C138" s="36">
        <f t="shared" ref="C138:N138" si="14">SUM(C31:C137)</f>
        <v>7829870.540000001</v>
      </c>
      <c r="D138" s="36">
        <f t="shared" si="14"/>
        <v>860000</v>
      </c>
      <c r="E138" s="36">
        <f t="shared" si="14"/>
        <v>860000</v>
      </c>
      <c r="F138" s="36">
        <f t="shared" si="14"/>
        <v>830670</v>
      </c>
      <c r="G138" s="36">
        <f t="shared" si="14"/>
        <v>830670</v>
      </c>
      <c r="H138" s="36">
        <f t="shared" si="14"/>
        <v>0</v>
      </c>
      <c r="I138" s="36">
        <f t="shared" si="14"/>
        <v>0</v>
      </c>
      <c r="J138" s="69">
        <f t="shared" si="14"/>
        <v>0</v>
      </c>
      <c r="K138" s="69">
        <f t="shared" si="14"/>
        <v>0</v>
      </c>
      <c r="L138" s="36">
        <f t="shared" si="14"/>
        <v>7829870.540000001</v>
      </c>
      <c r="M138" s="36">
        <f t="shared" si="14"/>
        <v>3931215.7400000007</v>
      </c>
      <c r="N138" s="36">
        <f t="shared" si="14"/>
        <v>3898654.8</v>
      </c>
      <c r="O138" s="47">
        <v>1</v>
      </c>
    </row>
    <row r="139" spans="1:15" x14ac:dyDescent="0.2">
      <c r="A139" s="48"/>
      <c r="B139" s="80"/>
      <c r="C139" s="83"/>
      <c r="D139" s="81"/>
      <c r="E139" s="49"/>
      <c r="F139" s="49"/>
      <c r="G139" s="49">
        <f>+G138-F138</f>
        <v>0</v>
      </c>
      <c r="H139" s="49"/>
      <c r="I139" s="49"/>
      <c r="J139" s="70"/>
      <c r="K139" s="70"/>
      <c r="L139" s="49"/>
      <c r="M139" s="49"/>
      <c r="N139" s="49"/>
    </row>
    <row r="140" spans="1:15" ht="15.75" thickBot="1" x14ac:dyDescent="0.25">
      <c r="B140" s="82"/>
      <c r="C140" s="82"/>
      <c r="D140" s="82"/>
      <c r="E140" s="12"/>
      <c r="F140" s="4"/>
      <c r="L140" s="15"/>
      <c r="M140" s="4"/>
    </row>
    <row r="141" spans="1:15" ht="15.75" x14ac:dyDescent="0.25">
      <c r="A141" s="1" t="s">
        <v>84</v>
      </c>
      <c r="B141" s="2"/>
      <c r="C141" s="3"/>
      <c r="D141" s="4"/>
      <c r="E141" s="4"/>
      <c r="F141" s="4"/>
      <c r="G141" s="4"/>
      <c r="H141" s="4"/>
      <c r="I141" s="4"/>
      <c r="J141" s="71"/>
      <c r="K141" s="71"/>
      <c r="L141" s="4"/>
      <c r="M141" s="4"/>
    </row>
    <row r="142" spans="1:15" ht="15.75" x14ac:dyDescent="0.25">
      <c r="A142" s="5" t="s">
        <v>2</v>
      </c>
      <c r="B142" s="6"/>
      <c r="C142" s="7"/>
      <c r="D142" s="4"/>
      <c r="E142" s="4"/>
      <c r="F142" s="4"/>
      <c r="G142" s="4"/>
      <c r="H142" s="4"/>
      <c r="I142" s="4"/>
      <c r="J142" s="71"/>
      <c r="K142" s="71"/>
      <c r="L142" s="4"/>
      <c r="M142" s="4"/>
    </row>
    <row r="143" spans="1:15" ht="5.0999999999999996" customHeight="1" thickBot="1" x14ac:dyDescent="0.25">
      <c r="A143" s="8"/>
      <c r="B143" s="9"/>
      <c r="C143" s="10"/>
      <c r="D143" s="4"/>
      <c r="E143" s="4"/>
      <c r="F143" s="4"/>
      <c r="G143" s="4"/>
      <c r="H143" s="4"/>
      <c r="I143" s="4"/>
      <c r="J143" s="71"/>
      <c r="K143" s="71"/>
      <c r="L143" s="4"/>
      <c r="M143" s="4"/>
    </row>
    <row r="144" spans="1:15" ht="6.95" customHeight="1" x14ac:dyDescent="0.2">
      <c r="A144" s="50"/>
      <c r="B144" s="51"/>
      <c r="C144" s="52"/>
      <c r="D144" s="4"/>
      <c r="E144" s="4"/>
      <c r="F144" s="4"/>
      <c r="G144" s="4"/>
      <c r="H144" s="4"/>
      <c r="I144" s="4"/>
      <c r="J144" s="71"/>
      <c r="K144" s="71"/>
      <c r="L144" s="4"/>
      <c r="M144" s="4"/>
    </row>
    <row r="145" spans="1:12" x14ac:dyDescent="0.2">
      <c r="A145" s="53" t="s">
        <v>85</v>
      </c>
      <c r="B145" s="54"/>
      <c r="C145" s="55"/>
      <c r="D145" s="4"/>
      <c r="E145" s="4"/>
      <c r="F145" s="4"/>
      <c r="G145" s="4"/>
      <c r="H145" s="4"/>
      <c r="I145" s="4"/>
      <c r="J145" s="71"/>
      <c r="K145" s="71"/>
      <c r="L145" s="4"/>
    </row>
    <row r="146" spans="1:12" x14ac:dyDescent="0.2">
      <c r="A146" s="56" t="s">
        <v>245</v>
      </c>
      <c r="B146" s="54"/>
      <c r="C146" s="74">
        <v>2417589.64</v>
      </c>
      <c r="D146" s="49"/>
      <c r="E146" s="4"/>
      <c r="F146" s="4"/>
      <c r="G146" s="4"/>
      <c r="H146" s="4"/>
      <c r="I146" s="4"/>
      <c r="J146" s="71"/>
      <c r="K146" s="71"/>
      <c r="L146" s="4"/>
    </row>
    <row r="147" spans="1:12" x14ac:dyDescent="0.2">
      <c r="A147" s="56" t="s">
        <v>250</v>
      </c>
      <c r="B147" s="54"/>
      <c r="C147" s="74">
        <v>-25591.599999999999</v>
      </c>
      <c r="D147" s="49"/>
      <c r="E147" s="4"/>
      <c r="F147" s="4"/>
      <c r="G147" s="4"/>
      <c r="H147" s="4"/>
      <c r="I147" s="4"/>
      <c r="J147" s="71"/>
      <c r="K147" s="71"/>
      <c r="L147" s="4"/>
    </row>
    <row r="148" spans="1:12" x14ac:dyDescent="0.2">
      <c r="A148" s="56" t="s">
        <v>246</v>
      </c>
      <c r="B148" s="54"/>
      <c r="C148" s="74"/>
      <c r="D148" s="49"/>
      <c r="E148" s="4"/>
      <c r="F148" s="4"/>
      <c r="G148" s="4"/>
      <c r="H148" s="4"/>
      <c r="I148" s="4"/>
      <c r="J148" s="71"/>
      <c r="K148" s="71"/>
      <c r="L148" s="4"/>
    </row>
    <row r="149" spans="1:12" x14ac:dyDescent="0.2">
      <c r="A149" s="90" t="s">
        <v>262</v>
      </c>
      <c r="B149" s="54"/>
      <c r="C149" s="74"/>
      <c r="D149" s="49"/>
      <c r="E149" s="4"/>
      <c r="F149" s="4"/>
      <c r="G149" s="4"/>
      <c r="H149" s="4"/>
      <c r="I149" s="4"/>
      <c r="J149" s="71"/>
      <c r="K149" s="71"/>
      <c r="L149" s="4"/>
    </row>
    <row r="150" spans="1:12" x14ac:dyDescent="0.2">
      <c r="A150" s="90" t="s">
        <v>263</v>
      </c>
      <c r="B150" s="54"/>
      <c r="C150" s="74">
        <v>1965</v>
      </c>
      <c r="D150" s="49"/>
      <c r="E150" s="4"/>
      <c r="F150" s="4"/>
      <c r="G150" s="4"/>
      <c r="H150" s="4"/>
      <c r="I150" s="4"/>
      <c r="J150" s="71"/>
      <c r="K150" s="71"/>
      <c r="L150" s="4"/>
    </row>
    <row r="151" spans="1:12" x14ac:dyDescent="0.2">
      <c r="A151" s="90" t="s">
        <v>256</v>
      </c>
      <c r="B151" s="54"/>
      <c r="C151" s="74">
        <f>-19097.23-425436.49</f>
        <v>-444533.72</v>
      </c>
      <c r="D151" s="49"/>
      <c r="E151" s="4"/>
      <c r="F151" s="4"/>
      <c r="G151" s="4"/>
      <c r="H151" s="4"/>
      <c r="I151" s="4"/>
      <c r="J151" s="71"/>
      <c r="K151" s="71"/>
      <c r="L151" s="4"/>
    </row>
    <row r="152" spans="1:12" x14ac:dyDescent="0.2">
      <c r="A152" s="90" t="s">
        <v>247</v>
      </c>
      <c r="B152" s="54"/>
      <c r="C152" s="74">
        <f>-82916.84-41055.67-7518.66-2081.59</f>
        <v>-133572.75999999998</v>
      </c>
      <c r="D152" s="49"/>
      <c r="E152" s="4"/>
      <c r="F152" s="4"/>
      <c r="G152" s="4"/>
      <c r="H152" s="4"/>
      <c r="I152" s="4"/>
      <c r="J152" s="71"/>
      <c r="K152" s="71"/>
      <c r="L152" s="4"/>
    </row>
    <row r="153" spans="1:12" x14ac:dyDescent="0.2">
      <c r="A153" s="56" t="s">
        <v>86</v>
      </c>
      <c r="B153" s="54"/>
      <c r="C153" s="74">
        <f>M26</f>
        <v>4377257.84</v>
      </c>
      <c r="D153" s="49"/>
      <c r="E153" s="4"/>
      <c r="F153" s="4"/>
      <c r="G153" s="4"/>
      <c r="H153" s="4"/>
      <c r="I153" s="4"/>
      <c r="J153" s="71"/>
      <c r="K153" s="71"/>
      <c r="L153" s="4"/>
    </row>
    <row r="154" spans="1:12" x14ac:dyDescent="0.2">
      <c r="A154" s="56" t="s">
        <v>87</v>
      </c>
      <c r="B154" s="54"/>
      <c r="C154" s="75">
        <f>-M138</f>
        <v>-3931215.7400000007</v>
      </c>
      <c r="D154" s="4"/>
      <c r="E154" s="4"/>
      <c r="F154" s="4"/>
      <c r="G154" s="4"/>
      <c r="H154" s="4"/>
      <c r="I154" s="4"/>
      <c r="J154" s="71"/>
      <c r="K154" s="71"/>
      <c r="L154" s="4"/>
    </row>
    <row r="155" spans="1:12" ht="15.75" x14ac:dyDescent="0.25">
      <c r="A155" s="57" t="s">
        <v>88</v>
      </c>
      <c r="B155" s="58"/>
      <c r="C155" s="76">
        <f>SUM(C146:C154)</f>
        <v>2261898.6599999997</v>
      </c>
      <c r="D155" s="4"/>
      <c r="E155" s="4"/>
      <c r="F155" s="4"/>
      <c r="G155" s="4"/>
      <c r="H155" s="4"/>
      <c r="I155" s="4"/>
      <c r="J155" s="71"/>
      <c r="K155" s="71"/>
      <c r="L155" s="4"/>
    </row>
    <row r="156" spans="1:12" ht="15.75" x14ac:dyDescent="0.25">
      <c r="A156" s="57"/>
      <c r="B156" s="58"/>
      <c r="C156" s="76"/>
      <c r="D156" s="4"/>
      <c r="E156" s="4"/>
      <c r="F156" s="4"/>
      <c r="G156" s="4"/>
      <c r="H156" s="4"/>
      <c r="I156" s="4"/>
      <c r="J156" s="71"/>
      <c r="K156" s="71"/>
      <c r="L156" s="4"/>
    </row>
    <row r="157" spans="1:12" x14ac:dyDescent="0.2">
      <c r="A157" s="53" t="s">
        <v>89</v>
      </c>
      <c r="B157" s="54"/>
      <c r="C157" s="74"/>
      <c r="D157" s="4"/>
      <c r="E157" s="4"/>
      <c r="F157" s="4"/>
      <c r="G157" s="4"/>
      <c r="H157" s="4"/>
      <c r="I157" s="4"/>
      <c r="J157" s="71"/>
      <c r="K157" s="71"/>
      <c r="L157" s="4"/>
    </row>
    <row r="158" spans="1:12" ht="12" customHeight="1" x14ac:dyDescent="0.2">
      <c r="A158" s="56" t="s">
        <v>149</v>
      </c>
      <c r="B158" s="54"/>
      <c r="C158" s="74">
        <v>272</v>
      </c>
      <c r="D158" s="4"/>
      <c r="E158" s="4"/>
      <c r="F158" s="4"/>
      <c r="G158" s="4"/>
      <c r="H158" s="4"/>
      <c r="I158" s="4"/>
      <c r="J158" s="71"/>
      <c r="K158" s="71"/>
      <c r="L158" s="4"/>
    </row>
    <row r="159" spans="1:12" ht="12" customHeight="1" x14ac:dyDescent="0.2">
      <c r="A159" s="56" t="s">
        <v>249</v>
      </c>
      <c r="B159" s="54"/>
      <c r="C159" s="74">
        <v>0</v>
      </c>
      <c r="D159" s="4"/>
      <c r="E159" s="4"/>
      <c r="F159" s="4"/>
      <c r="G159" s="4"/>
      <c r="H159" s="4"/>
      <c r="I159" s="4"/>
      <c r="J159" s="71"/>
      <c r="K159" s="71"/>
      <c r="L159" s="4"/>
    </row>
    <row r="160" spans="1:12" x14ac:dyDescent="0.2">
      <c r="A160" s="56" t="s">
        <v>152</v>
      </c>
      <c r="B160" s="54"/>
      <c r="C160" s="74">
        <f>6163.93+577.69+2645.5+0.01</f>
        <v>9387.130000000001</v>
      </c>
      <c r="D160" s="85"/>
      <c r="E160" s="86"/>
      <c r="F160" s="4"/>
      <c r="G160" s="4"/>
      <c r="H160" s="4"/>
      <c r="I160" s="4"/>
      <c r="J160" s="71"/>
      <c r="K160" s="71"/>
      <c r="L160" s="4"/>
    </row>
    <row r="161" spans="1:13" x14ac:dyDescent="0.2">
      <c r="A161" s="56" t="s">
        <v>151</v>
      </c>
      <c r="B161" s="54"/>
      <c r="C161" s="74">
        <v>1637.31</v>
      </c>
      <c r="D161" s="87"/>
      <c r="E161" s="86"/>
      <c r="F161" s="4"/>
      <c r="G161" s="4"/>
      <c r="H161" s="4"/>
      <c r="I161" s="4"/>
      <c r="J161" s="71"/>
      <c r="K161" s="71"/>
      <c r="L161" s="4"/>
    </row>
    <row r="162" spans="1:13" x14ac:dyDescent="0.2">
      <c r="A162" s="56" t="s">
        <v>150</v>
      </c>
      <c r="B162" s="54"/>
      <c r="C162" s="74">
        <v>3315.06</v>
      </c>
      <c r="D162" s="87"/>
      <c r="E162" s="86"/>
      <c r="F162" s="4"/>
      <c r="G162" s="4"/>
      <c r="H162" s="4"/>
      <c r="I162" s="4"/>
      <c r="J162" s="71"/>
      <c r="K162" s="71"/>
      <c r="L162" s="4"/>
    </row>
    <row r="163" spans="1:13" x14ac:dyDescent="0.2">
      <c r="A163" s="56" t="s">
        <v>237</v>
      </c>
      <c r="B163" s="54"/>
      <c r="C163" s="74">
        <f>990.15+990.15+990.15+990.15+990.15+990.15+990.15+990.15+990.15+990.15+990.15+990.15+990.15+990.15+255.46</f>
        <v>14117.559999999996</v>
      </c>
      <c r="D163" s="87"/>
      <c r="E163" s="86"/>
      <c r="F163" s="4"/>
      <c r="G163" s="4"/>
      <c r="H163" s="4"/>
      <c r="I163" s="4"/>
      <c r="J163" s="71"/>
      <c r="K163" s="71"/>
      <c r="L163" s="4"/>
    </row>
    <row r="164" spans="1:13" x14ac:dyDescent="0.2">
      <c r="A164" s="56"/>
      <c r="B164" s="54"/>
      <c r="C164" s="75"/>
      <c r="D164" s="88"/>
      <c r="E164" s="89"/>
      <c r="F164" s="4"/>
      <c r="G164" s="4"/>
      <c r="H164" s="4"/>
      <c r="I164" s="4"/>
      <c r="J164" s="71"/>
      <c r="K164" s="71"/>
      <c r="L164" s="4"/>
    </row>
    <row r="165" spans="1:13" ht="15.75" x14ac:dyDescent="0.25">
      <c r="A165" s="57"/>
      <c r="B165" s="58"/>
      <c r="C165" s="76">
        <f>SUM(C158:C164)</f>
        <v>28729.059999999998</v>
      </c>
      <c r="D165" s="88"/>
      <c r="E165" s="89"/>
      <c r="F165" s="4"/>
      <c r="G165" s="4"/>
      <c r="H165" s="4"/>
      <c r="I165" s="4"/>
      <c r="J165" s="71"/>
      <c r="K165" s="71"/>
      <c r="L165" s="4"/>
    </row>
    <row r="166" spans="1:13" ht="2.1" customHeight="1" x14ac:dyDescent="0.25">
      <c r="A166" s="57"/>
      <c r="B166" s="58"/>
      <c r="C166" s="77"/>
      <c r="D166" s="87"/>
      <c r="E166" s="86"/>
      <c r="F166" s="4"/>
      <c r="G166" s="4"/>
      <c r="H166" s="4"/>
      <c r="I166" s="4"/>
      <c r="J166" s="71"/>
      <c r="K166" s="71"/>
      <c r="L166" s="4"/>
    </row>
    <row r="167" spans="1:13" x14ac:dyDescent="0.2">
      <c r="A167" s="56"/>
      <c r="B167" s="54"/>
      <c r="C167" s="74"/>
      <c r="D167" s="87"/>
      <c r="E167" s="86"/>
      <c r="F167" s="4"/>
      <c r="G167" s="4"/>
      <c r="H167" s="4"/>
      <c r="I167" s="4"/>
      <c r="J167" s="71"/>
      <c r="K167" s="71"/>
      <c r="L167" s="4"/>
    </row>
    <row r="168" spans="1:13" ht="2.1" customHeight="1" thickBot="1" x14ac:dyDescent="0.3">
      <c r="A168" s="59" t="s">
        <v>244</v>
      </c>
      <c r="B168" s="60"/>
      <c r="C168" s="73">
        <f>C155+C165</f>
        <v>2290627.7199999997</v>
      </c>
      <c r="D168" s="85"/>
      <c r="E168" s="86"/>
      <c r="F168" s="4"/>
      <c r="G168" s="4"/>
      <c r="H168" s="4"/>
      <c r="I168" s="4"/>
      <c r="J168" s="71"/>
      <c r="K168" s="71"/>
      <c r="L168" s="4"/>
    </row>
    <row r="169" spans="1:13" ht="9.9499999999999993" customHeight="1" x14ac:dyDescent="0.2">
      <c r="A169" s="56"/>
      <c r="B169" s="54"/>
      <c r="C169" s="74"/>
      <c r="D169" s="85"/>
      <c r="E169" s="86"/>
      <c r="F169" s="4"/>
      <c r="G169" s="4"/>
      <c r="H169" s="4"/>
      <c r="I169" s="4"/>
      <c r="J169" s="71"/>
      <c r="K169" s="71"/>
      <c r="L169" s="4"/>
    </row>
    <row r="170" spans="1:13" ht="16.5" thickBot="1" x14ac:dyDescent="0.3">
      <c r="A170" s="59" t="s">
        <v>275</v>
      </c>
      <c r="B170" s="60"/>
      <c r="C170" s="73">
        <f>C155+C165</f>
        <v>2290627.7199999997</v>
      </c>
      <c r="D170" s="85"/>
      <c r="E170" s="86"/>
      <c r="F170" s="4"/>
      <c r="G170" s="4"/>
      <c r="H170" s="4"/>
      <c r="I170" s="4"/>
      <c r="J170" s="71"/>
      <c r="K170" s="71"/>
      <c r="L170" s="4"/>
      <c r="M170" s="4"/>
    </row>
    <row r="171" spans="1:13" x14ac:dyDescent="0.2">
      <c r="A171" s="61"/>
      <c r="B171" s="61"/>
      <c r="C171" s="62"/>
      <c r="D171" s="4"/>
      <c r="E171" s="4"/>
      <c r="F171" s="4"/>
      <c r="G171" s="4"/>
      <c r="H171" s="4"/>
      <c r="I171" s="4"/>
      <c r="J171" s="71"/>
      <c r="K171" s="71"/>
      <c r="L171" s="4"/>
    </row>
    <row r="172" spans="1:13" x14ac:dyDescent="0.2">
      <c r="C172" s="62"/>
      <c r="D172" s="4"/>
    </row>
    <row r="173" spans="1:13" x14ac:dyDescent="0.2">
      <c r="C173" s="14"/>
      <c r="D173" s="4"/>
    </row>
    <row r="174" spans="1:13" x14ac:dyDescent="0.2">
      <c r="C174" s="14"/>
      <c r="D174" s="4"/>
    </row>
    <row r="175" spans="1:13" x14ac:dyDescent="0.2">
      <c r="C175" s="15"/>
      <c r="D175" s="4"/>
      <c r="I175" s="4"/>
      <c r="K175" s="71"/>
      <c r="L175" s="4"/>
    </row>
    <row r="176" spans="1:13" x14ac:dyDescent="0.2">
      <c r="C176" s="15"/>
      <c r="D176" s="4"/>
    </row>
    <row r="177" spans="2:12" x14ac:dyDescent="0.2">
      <c r="C177" s="15"/>
      <c r="D177" s="4"/>
    </row>
    <row r="178" spans="2:12" x14ac:dyDescent="0.2">
      <c r="C178" s="15"/>
      <c r="D178" s="4"/>
    </row>
    <row r="179" spans="2:12" x14ac:dyDescent="0.2">
      <c r="C179" s="15"/>
      <c r="D179" s="4"/>
    </row>
    <row r="180" spans="2:12" x14ac:dyDescent="0.2">
      <c r="D180" s="4"/>
    </row>
    <row r="181" spans="2:12" x14ac:dyDescent="0.2">
      <c r="D181" s="4"/>
    </row>
    <row r="182" spans="2:12" x14ac:dyDescent="0.2">
      <c r="B182" s="11" t="s">
        <v>242</v>
      </c>
      <c r="D182" s="13" t="s">
        <v>231</v>
      </c>
      <c r="I182" s="13" t="s">
        <v>240</v>
      </c>
      <c r="K182" s="79"/>
    </row>
    <row r="183" spans="2:12" x14ac:dyDescent="0.2">
      <c r="B183" s="11" t="s">
        <v>90</v>
      </c>
      <c r="D183" s="13" t="s">
        <v>91</v>
      </c>
      <c r="I183" s="11" t="s">
        <v>252</v>
      </c>
    </row>
    <row r="187" spans="2:12" x14ac:dyDescent="0.2">
      <c r="I187" s="4"/>
      <c r="K187" s="71"/>
      <c r="L187" s="4"/>
    </row>
    <row r="188" spans="2:12" x14ac:dyDescent="0.2">
      <c r="I188" s="4"/>
      <c r="K188" s="71"/>
      <c r="L188" s="4"/>
    </row>
    <row r="189" spans="2:12" x14ac:dyDescent="0.2">
      <c r="G189" s="63"/>
      <c r="I189" s="63"/>
      <c r="K189" s="72"/>
      <c r="L189" s="4"/>
    </row>
    <row r="190" spans="2:12" x14ac:dyDescent="0.2">
      <c r="G190" s="63"/>
      <c r="I190" s="63"/>
      <c r="K190" s="72"/>
      <c r="L190" s="4"/>
    </row>
    <row r="191" spans="2:12" x14ac:dyDescent="0.2">
      <c r="G191" s="63"/>
      <c r="L191" s="4"/>
    </row>
    <row r="192" spans="2:12" x14ac:dyDescent="0.2">
      <c r="G192" s="63"/>
    </row>
    <row r="193" spans="7:12" x14ac:dyDescent="0.2">
      <c r="G193" s="63"/>
    </row>
    <row r="194" spans="7:12" x14ac:dyDescent="0.2">
      <c r="G194" s="63"/>
      <c r="L194" s="4"/>
    </row>
    <row r="195" spans="7:12" x14ac:dyDescent="0.2">
      <c r="G195" s="63"/>
    </row>
    <row r="196" spans="7:12" x14ac:dyDescent="0.2">
      <c r="G196" s="63"/>
    </row>
    <row r="197" spans="7:12" x14ac:dyDescent="0.2">
      <c r="G197" s="63"/>
    </row>
    <row r="198" spans="7:12" x14ac:dyDescent="0.2">
      <c r="G198" s="63"/>
    </row>
    <row r="199" spans="7:12" x14ac:dyDescent="0.2">
      <c r="G199" s="63"/>
    </row>
    <row r="200" spans="7:12" x14ac:dyDescent="0.2">
      <c r="G200" s="63"/>
    </row>
    <row r="201" spans="7:12" x14ac:dyDescent="0.2">
      <c r="G201" s="63"/>
    </row>
    <row r="202" spans="7:12" x14ac:dyDescent="0.2">
      <c r="G202" s="63"/>
    </row>
    <row r="203" spans="7:12" x14ac:dyDescent="0.2">
      <c r="G203" s="63"/>
    </row>
    <row r="204" spans="7:12" x14ac:dyDescent="0.2">
      <c r="G204" s="63"/>
    </row>
    <row r="205" spans="7:12" x14ac:dyDescent="0.2">
      <c r="G205" s="63"/>
    </row>
    <row r="206" spans="7:12" x14ac:dyDescent="0.2">
      <c r="G206" s="63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verticalDpi="360" r:id="rId1"/>
  <rowBreaks count="2" manualBreakCount="2">
    <brk id="55" max="14" man="1"/>
    <brk id="119" max="16383" man="1"/>
  </rowBreaks>
  <ignoredErrors>
    <ignoredError sqref="M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2021</vt:lpstr>
      <vt:lpstr>FEBRERO 2021</vt:lpstr>
      <vt:lpstr>MARZO 2021</vt:lpstr>
      <vt:lpstr>ABRIL 2021 </vt:lpstr>
      <vt:lpstr>MAYO 2021</vt:lpstr>
      <vt:lpstr>JUNIO 2021</vt:lpstr>
      <vt:lpstr>JULIO 2021</vt:lpstr>
      <vt:lpstr>AGOSTO 2021</vt:lpstr>
      <vt:lpstr>SEPTIEMBRE 2021</vt:lpstr>
      <vt:lpstr>OCTUBRE 2021</vt:lpstr>
      <vt:lpstr>NOVIEMBRE</vt:lpstr>
      <vt:lpstr>DICIEMBRE</vt:lpstr>
      <vt:lpstr>'ABRIL 2021 '!Área_de_impresión</vt:lpstr>
      <vt:lpstr>'AGOSTO 2021'!Área_de_impresión</vt:lpstr>
      <vt:lpstr>DICIEMBRE!Área_de_impresión</vt:lpstr>
      <vt:lpstr>'ENERO 2021'!Área_de_impresión</vt:lpstr>
      <vt:lpstr>'FEBRERO 2021'!Área_de_impresión</vt:lpstr>
      <vt:lpstr>'JULIO 2021'!Área_de_impresión</vt:lpstr>
      <vt:lpstr>'JUNIO 2021'!Área_de_impresión</vt:lpstr>
      <vt:lpstr>'MARZO 2021'!Área_de_impresión</vt:lpstr>
      <vt:lpstr>'MAYO 2021'!Área_de_impresión</vt:lpstr>
      <vt:lpstr>NOVIEMBRE!Área_de_impresión</vt:lpstr>
      <vt:lpstr>'OCTUBRE 2021'!Área_de_impresión</vt:lpstr>
      <vt:lpstr>'SEPTIEMBRE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Vivi</cp:lastModifiedBy>
  <cp:lastPrinted>2021-12-07T17:52:29Z</cp:lastPrinted>
  <dcterms:created xsi:type="dcterms:W3CDTF">2018-02-13T22:14:16Z</dcterms:created>
  <dcterms:modified xsi:type="dcterms:W3CDTF">2022-01-22T16:04:12Z</dcterms:modified>
</cp:coreProperties>
</file>